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44776\Documents\Rhys\Agora\"/>
    </mc:Choice>
  </mc:AlternateContent>
  <xr:revisionPtr revIDLastSave="0" documentId="13_ncr:1_{649268EC-0286-4533-A4D5-A4E809E9471A}" xr6:coauthVersionLast="47" xr6:coauthVersionMax="47" xr10:uidLastSave="{00000000-0000-0000-0000-000000000000}"/>
  <bookViews>
    <workbookView xWindow="28680" yWindow="-120" windowWidth="29040" windowHeight="15720" activeTab="1" xr2:uid="{00000000-000D-0000-FFFF-FFFF00000000}"/>
  </bookViews>
  <sheets>
    <sheet name="Results" sheetId="63" r:id="rId1"/>
    <sheet name="Model - Social impact" sheetId="19" r:id="rId2"/>
    <sheet name="Parameters (Generic)" sheetId="24" state="hidden" r:id="rId3"/>
    <sheet name="Parameters | Agora" sheetId="2" r:id="rId4"/>
    <sheet name="Parameters (WASH)" sheetId="54" state="hidden" r:id="rId5"/>
    <sheet name="VI Metadata" sheetId="1" state="hidden" r:id="rId6"/>
    <sheet name="Regionalized NatCap | VI" sheetId="47" state="hidden" r:id="rId7"/>
    <sheet name="LW2023-24 | VI" sheetId="27" r:id="rId8"/>
    <sheet name="HUI 2023 | VI" sheetId="15" r:id="rId9"/>
    <sheet name="HUT 2023 | VI" sheetId="17" r:id="rId10"/>
    <sheet name="Wages | VI " sheetId="21" r:id="rId11"/>
    <sheet name="HEALTH | VI" sheetId="30" r:id="rId12"/>
    <sheet name="EDU | VI" sheetId="6" r:id="rId13"/>
    <sheet name="NatCap | VI" sheetId="31" state="hidden" r:id="rId14"/>
    <sheet name="LCA | DB" sheetId="32" state="hidden" r:id="rId15"/>
    <sheet name="LCA-IO" sheetId="56" state="hidden" r:id="rId16"/>
    <sheet name="IO | DB" sheetId="57" state="hidden" r:id="rId17"/>
    <sheet name="Countries codes" sheetId="60" r:id="rId18"/>
    <sheet name="Job creation baseline" sheetId="61" r:id="rId19"/>
    <sheet name="Life expectancy | UN" sheetId="59" state="hidden" r:id="rId20"/>
    <sheet name="WageD1" sheetId="28" state="hidden" r:id="rId21"/>
    <sheet name="WageD2" sheetId="29" state="hidden"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_FDS_HYPERLINK_TOGGLE_STATE__" hidden="1">"ON"</definedName>
    <definedName name="_Fill" hidden="1">#REF!</definedName>
    <definedName name="_xlnm._FilterDatabase" localSheetId="17" hidden="1">'Countries codes'!$B$1:$C$189</definedName>
    <definedName name="_xlnm._FilterDatabase" localSheetId="12" hidden="1">'EDU | VI'!$A$1:$P$219</definedName>
    <definedName name="_xlnm._FilterDatabase" localSheetId="11" hidden="1">'HEALTH | VI'!$A$1:$V$1</definedName>
    <definedName name="_xlnm._FilterDatabase" localSheetId="8" hidden="1">'HUI 2023 | VI'!$A$1:$H$1</definedName>
    <definedName name="_xlnm._FilterDatabase" localSheetId="9" hidden="1">'HUT 2023 | VI'!$A$1:$G$154</definedName>
    <definedName name="_xlnm._FilterDatabase" localSheetId="16" hidden="1">'IO | DB'!$A$1:$AE$16</definedName>
    <definedName name="_xlnm._FilterDatabase" localSheetId="18" hidden="1">'Job creation baseline'!$A$1:$M$178</definedName>
    <definedName name="_xlnm._FilterDatabase" localSheetId="15" hidden="1">'LCA-IO'!$A$1:$F$175</definedName>
    <definedName name="_xlnm._FilterDatabase" localSheetId="19" hidden="1">'Life expectancy | UN'!$A$1:$F$1</definedName>
    <definedName name="_xlnm._FilterDatabase" localSheetId="7" hidden="1">'LW2023-24 | VI'!$A$1:$Q$579</definedName>
    <definedName name="_xlnm._FilterDatabase" localSheetId="1" hidden="1">'Model - Social impact'!$A$1:$AE$44</definedName>
    <definedName name="_xlnm._FilterDatabase" localSheetId="13" hidden="1">'NatCap | VI'!$A$1:$K$1</definedName>
    <definedName name="_xlnm._FilterDatabase" localSheetId="6" hidden="1">'Regionalized NatCap | VI'!$A$3:$AF$207</definedName>
    <definedName name="_xlnm._FilterDatabase" localSheetId="10" hidden="1">'Wages | VI '!$A$1:$AB$219</definedName>
    <definedName name="_Key1" localSheetId="13" hidden="1">#REF!</definedName>
    <definedName name="_Key1" localSheetId="4" hidden="1">#REF!</definedName>
    <definedName name="_Key1" localSheetId="6" hidden="1">#REF!</definedName>
    <definedName name="_Key1" hidden="1">#REF!</definedName>
    <definedName name="_Key2" localSheetId="4" hidden="1">#REF!</definedName>
    <definedName name="_Key2" hidden="1">#REF!</definedName>
    <definedName name="_Order1" hidden="1">255</definedName>
    <definedName name="_Order2" hidden="1">255</definedName>
    <definedName name="_Sort" localSheetId="13" hidden="1">#REF!</definedName>
    <definedName name="_Sort" localSheetId="4" hidden="1">#REF!</definedName>
    <definedName name="_Sort" localSheetId="6" hidden="1">#REF!</definedName>
    <definedName name="_Sort" hidden="1">#REF!</definedName>
    <definedName name="_Table2_Out" localSheetId="4" hidden="1">#REF!</definedName>
    <definedName name="_Table2_Out" hidden="1">#REF!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F_butter">#REF!</definedName>
    <definedName name="anscount" hidden="1">1</definedName>
    <definedName name="Area">[1]Resumen!$B$17:$B$26</definedName>
    <definedName name="belnew" localSheetId="17" hidden="1">{"IS",#N/A,FALSE,"IS";"RPTIS",#N/A,FALSE,"RPTIS";"STATS",#N/A,FALSE,"STATS";"CELL",#N/A,FALSE,"CELL";"BS",#N/A,FALSE,"BS"}</definedName>
    <definedName name="belnew" localSheetId="16" hidden="1">{"IS",#N/A,FALSE,"IS";"RPTIS",#N/A,FALSE,"RPTIS";"STATS",#N/A,FALSE,"STATS";"CELL",#N/A,FALSE,"CELL";"BS",#N/A,FALSE,"BS"}</definedName>
    <definedName name="belnew" localSheetId="18" hidden="1">{"IS",#N/A,FALSE,"IS";"RPTIS",#N/A,FALSE,"RPTIS";"STATS",#N/A,FALSE,"STATS";"CELL",#N/A,FALSE,"CELL";"BS",#N/A,FALSE,"BS"}</definedName>
    <definedName name="belnew" localSheetId="15" hidden="1">{"IS",#N/A,FALSE,"IS";"RPTIS",#N/A,FALSE,"RPTIS";"STATS",#N/A,FALSE,"STATS";"CELL",#N/A,FALSE,"CELL";"BS",#N/A,FALSE,"BS"}</definedName>
    <definedName name="belnew" localSheetId="13" hidden="1">{"IS",#N/A,FALSE,"IS";"RPTIS",#N/A,FALSE,"RPTIS";"STATS",#N/A,FALSE,"STATS";"CELL",#N/A,FALSE,"CELL";"BS",#N/A,FALSE,"BS"}</definedName>
    <definedName name="belnew" localSheetId="4" hidden="1">{"IS",#N/A,FALSE,"IS";"RPTIS",#N/A,FALSE,"RPTIS";"STATS",#N/A,FALSE,"STATS";"CELL",#N/A,FALSE,"CELL";"BS",#N/A,FALSE,"BS"}</definedName>
    <definedName name="belnew" localSheetId="6" hidden="1">{"IS",#N/A,FALSE,"IS";"RPTIS",#N/A,FALSE,"RPTIS";"STATS",#N/A,FALSE,"STATS";"CELL",#N/A,FALSE,"CELL";"BS",#N/A,FALSE,"BS"}</definedName>
    <definedName name="belnew" hidden="1">{"IS",#N/A,FALSE,"IS";"RPTIS",#N/A,FALSE,"RPTIS";"STATS",#N/A,FALSE,"STATS";"CELL",#N/A,FALSE,"CELL";"BS",#N/A,FALSE,"BS"}</definedName>
    <definedName name="cagnew" localSheetId="17" hidden="1">{"IS",#N/A,FALSE,"IS";"RPTIS",#N/A,FALSE,"RPTIS";"STATS",#N/A,FALSE,"STATS";"CELL",#N/A,FALSE,"CELL";"BS",#N/A,FALSE,"BS"}</definedName>
    <definedName name="cagnew" localSheetId="16" hidden="1">{"IS",#N/A,FALSE,"IS";"RPTIS",#N/A,FALSE,"RPTIS";"STATS",#N/A,FALSE,"STATS";"CELL",#N/A,FALSE,"CELL";"BS",#N/A,FALSE,"BS"}</definedName>
    <definedName name="cagnew" localSheetId="18" hidden="1">{"IS",#N/A,FALSE,"IS";"RPTIS",#N/A,FALSE,"RPTIS";"STATS",#N/A,FALSE,"STATS";"CELL",#N/A,FALSE,"CELL";"BS",#N/A,FALSE,"BS"}</definedName>
    <definedName name="cagnew" localSheetId="15" hidden="1">{"IS",#N/A,FALSE,"IS";"RPTIS",#N/A,FALSE,"RPTIS";"STATS",#N/A,FALSE,"STATS";"CELL",#N/A,FALSE,"CELL";"BS",#N/A,FALSE,"BS"}</definedName>
    <definedName name="cagnew" localSheetId="13" hidden="1">{"IS",#N/A,FALSE,"IS";"RPTIS",#N/A,FALSE,"RPTIS";"STATS",#N/A,FALSE,"STATS";"CELL",#N/A,FALSE,"CELL";"BS",#N/A,FALSE,"BS"}</definedName>
    <definedName name="cagnew" localSheetId="4" hidden="1">{"IS",#N/A,FALSE,"IS";"RPTIS",#N/A,FALSE,"RPTIS";"STATS",#N/A,FALSE,"STATS";"CELL",#N/A,FALSE,"CELL";"BS",#N/A,FALSE,"BS"}</definedName>
    <definedName name="cagnew" localSheetId="6" hidden="1">{"IS",#N/A,FALSE,"IS";"RPTIS",#N/A,FALSE,"RPTIS";"STATS",#N/A,FALSE,"STATS";"CELL",#N/A,FALSE,"CELL";"BS",#N/A,FALSE,"BS"}</definedName>
    <definedName name="cagnew" hidden="1">{"IS",#N/A,FALSE,"IS";"RPTIS",#N/A,FALSE,"RPTIS";"STATS",#N/A,FALSE,"STATS";"CELL",#N/A,FALSE,"CELL";"BS",#N/A,FALSE,"BS"}</definedName>
    <definedName name="CDR_CONTROLE" localSheetId="15" hidden="1">#REF!</definedName>
    <definedName name="CDR_CONTROLE" hidden="1">#REF!</definedName>
    <definedName name="Cost_Exp">#REF!</definedName>
    <definedName name="DALY_VALUE">[2]Parameters!$B$3</definedName>
    <definedName name="Dolar_Cprador_BNA">#REF!</definedName>
    <definedName name="Dolar_Cprador_Div">#REF!</definedName>
    <definedName name="Dolar_Prom_BNA">#REF!</definedName>
    <definedName name="Dolar_Vdor_BNA">#REF!</definedName>
    <definedName name="dz" localSheetId="15" hidden="1">#REF!</definedName>
    <definedName name="dz" hidden="1">#REF!</definedName>
    <definedName name="EPMWorkbookOptions_1" hidden="1">"fVsAAB+LCAAAAAAABADtnGtvokwUx99vst/B+B5hBC801g2LaGkQDBd3m2ZDQMYtWQUfoOv22z/jrYJgq13XcHvVZubMMPw8Z/7DcIbOlz/zWeU39HzbdW6roEZUK9CZuJbt/LytPgdTDDSrX7qfP3W+ud4v03V/SYsAmfoV1M7xb/749m31KQgWNzi+XC5rS7Lmej/xOkEA/PtQUCZPcG5gtuMHhjOB1ddW1vutquiqlUqHdR0HTlbXVF32"</definedName>
    <definedName name="EPMWorkbookOptions_10" hidden="1">"x669enb7|Yar7/f//qXtDRgnBf583/5/PzHyDHHqLRgE28UaP7x6vVmUxzVqCYz8PPjXNCVq1XBLi9NnTrM34Y//DN1V38I9f5ed13sy/XH65ypdH51nZ5I/vhh9yu5Myz2oA/XL5OrvMTcvux9z2u1X9dlJVb4ktWyajad3/Imx/NeNZcw2/XMn4/p8AAAD//6Ruk7JGWwAA"</definedName>
    <definedName name="EPMWorkbookOptions_2" hidden="1">"2fOgE4xtuFxXRqp7RmBsS1G5aMzh5mqvVwrgfPHs2etLaT70Rh6cQtTfBNbQgKpdvT8a6l9HrPgNEPrjthEgaqDVqJG1Vv2mTRAE7hsL3FxM8B/6oyQww+0fnZVERRL4HqPykogKp8bMhz86+Goc+1Exi8XMnhghgiePbtdHtJdQ8famu/HhHIxiw22PsoIfrbqzLQs6PXsOHX895uOm+/H6ERtkpTy5y9c+WHfmet3Ae4YdPKHirabru1iD"</definedName>
    <definedName name="EPMWorkbookOptions_3" hidden="1">"PWgau71tS+QcAfwT9I3frmcHaGChxrG6E9r3bc8PQmNPrj/o6HWUxwmdahW20xz7v2e4vnOGZSVNVDt4UuVbfWyQoxBvEIBsg1AHST/Guq3kWdDrEh18809i7/5iZryMPHcBveClCxrNxhSaU6zRtCiMqk9prN2AECMMWKcss0W1THJ15WirhI4Fww8UOEPRDq0hnJto0kowi3plogEy2bQPYXrcQvxRexwxMieqdwD925dk7rvOiyoroViO"</definedName>
    <definedName name="EPMWorkbookOptions_4" hidden="1">"NTrS+Z0NPcObPL3sTStoorxx7NltdeU91YM4evv3Pa1tB3/vti/IBQA0VZdEQkTUryWOEI4eaCAXKZFEYwY0s06kg58yC4eE5F+Knqr3OJXhhY8LH0FQaFF3uu6BXOrejuOB9tF01r314kxESeT6JZUDKowglFBi4VNo+TvChMo8kxQJoMgIDyrPgg/LH0k2GhRFnS5/9RzK345ifKIv7gNOMhNmwPHiIOtQ0hfA9Q8HcLMFiHa7dXoAk/kN"</definedName>
    <definedName name="EPMWorkbookOptions_5" hidden="1">"4HrUWcesknVPvTCRfXHJ5XCqL5lEmShskff3kpn01BwwSY/6sYzKDST54W82b5pNkjxj94Y6Q/2oFk3Wp1QTM1smQOpHtDCzSZOYRU9bBmgbhgGtFKjfjuLBVM+qGiNk3Vcvy2TMyQoviXrmQ/jfYCFLLElYCrswSMbyVesNODXrTNIjgrulBnlFFWycoYIGpE2apmjMMk0SoxqgjZlI/zCjaZEmTTbq9WkaVPAVI3LR7Yo+8/NZepy0x6iM"</definedName>
    <definedName name="EPMWorkbookOptions_6" hidden="1">"IrNXTC9p5m+bYgsxOp3SOqvKhU0cSEQCgC7J/IAX9VV1iSaKhhdHWubl9x/6S2EX94lshve6pN7pmtLLOpb0iOFAlrSRckUtbOVPCzcM47uw+kAeZd1TL8kklMmdBzTpCeJ1Qu9fpI2dHcTt/O08bhjGEoFWydKcXNx06SQsvL6a3UoiYSLKoLj5UclE7sc6w5dIwkiY3r2WdSLpUT2BGzCCjujy6l+8dTtb++j8aV+Y5IECaqCwz6DHqawW"</definedName>
    <definedName name="EPMWorkbookOptions_7" hidden="1">"sutynitsVs5xOixT+kwClWFJJU4lD8um9CjiSJZ6GnvNg7PgnJOzGVHDLcWDxZs42pVn3F0vimWlhNuKwiphIhhQz35y3UWBiFIZP3EqNE2Ub/aTh/kB/ZNHKqvJCC57zQdCkMNTtCGSmxwUgc26m14MhcQLOXgFeTEcnCZnnUV6ZjCVH3LXnLrOOQGZkeX7CmFUZNFSjKwpXOZfOF6UCFW718SSSIRInyts8tqRqLnXCnvs4giRHpf5lVB6"</definedName>
    <definedName name="EPMWorkbookOptions_8" hidden="1">"5G7MCBqns3cML15T9XJ4bDhEsjw4/B4TUdLHmY/ii1Mp9CHZo1Q0JQdU0jPjDzlG0WTumhmn4JxzshmZ7ncYN4/gD2rmtyMu6KEnGEVGk2zUwZM+Sxwp3Zmj3uJfbQ4Xxr/03JHh1IP+k+RIC+jsvuMbLVzbsTNoeKtOJUcxfr9+LviweG27+6Q1cstgjXFnHa+I2i+t7a/W4f2x4dmGOYND6P3c9xAr//xp3+32E9rd/wElz2VlfVsAAA=="</definedName>
    <definedName name="EPMWorkbookOptions_9" hidden="1">""</definedName>
    <definedName name="EV__LASTREFTIME__" hidden="1">41705.7358449074</definedName>
    <definedName name="EX_CN">[3]NUMBEO!#REF!</definedName>
    <definedName name="EX_EU">#REF!</definedName>
    <definedName name="fdas" localSheetId="17" hidden="1">{"IS",#N/A,FALSE,"IS";"RPTIS",#N/A,FALSE,"RPTIS";"STATS",#N/A,FALSE,"STATS";"CELL",#N/A,FALSE,"CELL";"BS",#N/A,FALSE,"BS"}</definedName>
    <definedName name="fdas" localSheetId="16" hidden="1">{"IS",#N/A,FALSE,"IS";"RPTIS",#N/A,FALSE,"RPTIS";"STATS",#N/A,FALSE,"STATS";"CELL",#N/A,FALSE,"CELL";"BS",#N/A,FALSE,"BS"}</definedName>
    <definedName name="fdas" localSheetId="18" hidden="1">{"IS",#N/A,FALSE,"IS";"RPTIS",#N/A,FALSE,"RPTIS";"STATS",#N/A,FALSE,"STATS";"CELL",#N/A,FALSE,"CELL";"BS",#N/A,FALSE,"BS"}</definedName>
    <definedName name="fdas" localSheetId="15" hidden="1">{"IS",#N/A,FALSE,"IS";"RPTIS",#N/A,FALSE,"RPTIS";"STATS",#N/A,FALSE,"STATS";"CELL",#N/A,FALSE,"CELL";"BS",#N/A,FALSE,"BS"}</definedName>
    <definedName name="fdas" localSheetId="13" hidden="1">{"IS",#N/A,FALSE,"IS";"RPTIS",#N/A,FALSE,"RPTIS";"STATS",#N/A,FALSE,"STATS";"CELL",#N/A,FALSE,"CELL";"BS",#N/A,FALSE,"BS"}</definedName>
    <definedName name="fdas" localSheetId="4" hidden="1">{"IS",#N/A,FALSE,"IS";"RPTIS",#N/A,FALSE,"RPTIS";"STATS",#N/A,FALSE,"STATS";"CELL",#N/A,FALSE,"CELL";"BS",#N/A,FALSE,"BS"}</definedName>
    <definedName name="fdas" localSheetId="6" hidden="1">{"IS",#N/A,FALSE,"IS";"RPTIS",#N/A,FALSE,"RPTIS";"STATS",#N/A,FALSE,"STATS";"CELL",#N/A,FALSE,"CELL";"BS",#N/A,FALSE,"BS"}</definedName>
    <definedName name="fdas" hidden="1">{"IS",#N/A,FALSE,"IS";"RPTIS",#N/A,FALSE,"RPTIS";"STATS",#N/A,FALSE,"STATS";"CELL",#N/A,FALSE,"CELL";"BS",#N/A,FALSE,"BS"}</definedName>
    <definedName name="ff" localSheetId="15" hidden="1">#REF!</definedName>
    <definedName name="ff" hidden="1">#REF!</definedName>
    <definedName name="FOB_Maní">#REF!</definedName>
    <definedName name="GBPtoUSD">#REF!</definedName>
    <definedName name="gdèyd" localSheetId="17" hidden="1">[4]FDV_par_sociétés!#REF!</definedName>
    <definedName name="gdèyd" localSheetId="15" hidden="1">#REF!</definedName>
    <definedName name="gdèyd" hidden="1">#REF!</definedName>
    <definedName name="GLO_HUT">[5]HUT!$G$157</definedName>
    <definedName name="HTML_CodePage" hidden="1">950</definedName>
    <definedName name="HTML_Control" localSheetId="17" hidden="1">{"'Sheet1'!$L$16"}</definedName>
    <definedName name="HTML_Control" localSheetId="16" hidden="1">{"'Sheet1'!$L$16"}</definedName>
    <definedName name="HTML_Control" localSheetId="18" hidden="1">{"'Sheet1'!$L$16"}</definedName>
    <definedName name="HTML_Control" localSheetId="15" hidden="1">{"'Sheet1'!$L$16"}</definedName>
    <definedName name="HTML_Control" localSheetId="13" hidden="1">{"'Sheet1'!$L$16"}</definedName>
    <definedName name="HTML_Control" localSheetId="4" hidden="1">{"'Sheet1'!$L$16"}</definedName>
    <definedName name="HTML_Control" localSheetId="6"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if" localSheetId="15" hidden="1">#REF!</definedName>
    <definedName name="if" hidden="1">#REF!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FAX" hidden="1">"c2100"</definedName>
    <definedName name="IQ_BOARD_MEMBER_OFFICE" hidden="1">"c2098"</definedName>
    <definedName name="IQ_BOARD_MEMBER_PHONE" hidden="1">"c2099"</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"c223"</definedName>
    <definedName name="IQ_BONDRATING_FITCH_DATE" hidden="1">"c241"</definedName>
    <definedName name="IQ_BONDRATING_SP" hidden="1">"c224"</definedName>
    <definedName name="IQ_BONDRATING_SP_DATE" hidden="1">"c242"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DEBT" hidden="1">"c224"</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 hidden="1">"c231"</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GROWTH_1" hidden="1">"c157"</definedName>
    <definedName name="IQ_EBIT_GROWTH_2" hidden="1">"c161"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ST" hidden="1">"c369"</definedName>
    <definedName name="IQ_EBITDA_GROWTH_1" hidden="1">"c156"</definedName>
    <definedName name="IQ_EBITDA_GROWTH_2" hidden="1">"c160"</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O_EST" hidden="1">"c267"</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_EST" hidden="1">"c271"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"c165"</definedName>
    <definedName name="IQ_EV_OVER_REVENUE_EST_1" hidden="1">"c166"</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O_EST" hidden="1">"c276"</definedName>
    <definedName name="IQ_FFO_NUM_EST" hidden="1">"c421"</definedName>
    <definedName name="IQ_FFO_STDDEV_EST" hidden="1">"c422"</definedName>
    <definedName name="IQ_FH" hidden="1">100000</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 hidden="1">1000</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C_BNK" hidden="1">"c488"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"c519"</definedName>
    <definedName name="IQ_GROSS_INTAN" hidden="1">"c520"</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 hidden="1">"c1534"</definedName>
    <definedName name="IQ_INSIDER_3MTH_BOUGHT_PCT" hidden="1">"c1534"</definedName>
    <definedName name="IQ_INSIDER_3MTH_NET" hidden="1">"c1535"</definedName>
    <definedName name="IQ_INSIDER_3MTH_NET_PCT" hidden="1">"c1535"</definedName>
    <definedName name="IQ_INSIDER_3MTH_SOLD" hidden="1">"c1533"</definedName>
    <definedName name="IQ_INSIDER_3MTH_SOLD_PCT" hidden="1">"c1533"</definedName>
    <definedName name="IQ_INSIDER_6MTH_BOUGHT" hidden="1">"c1537"</definedName>
    <definedName name="IQ_INSIDER_6MTH_BOUGHT_PCT" hidden="1">"c1537"</definedName>
    <definedName name="IQ_INSIDER_6MTH_NET" hidden="1">"c1538"</definedName>
    <definedName name="IQ_INSIDER_6MTH_NET_PCT" hidden="1">"c1538"</definedName>
    <definedName name="IQ_INSIDER_6MTH_SOLD" hidden="1">"c1536"</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TEREST_LT_DEBT" hidden="1">"c2086"</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"100"</definedName>
    <definedName name="IQ_LATESTQ" hidden="1">500</definedName>
    <definedName name="IQ_LATESTQFR" hidden="1">"50"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ISTING_CURRENCY" hidden="1">"c2127"</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_SENIOR_DEBT" hidden="1">"c702"</definedName>
    <definedName name="IQ_LT_SUB_DEBT" hidden="1">"c703"</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ARKTCAP" hidden="1">"c258"</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MES_REVISION_DATE_" hidden="1">40434.9057523148</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"c158"</definedName>
    <definedName name="IQ_NET_INC_GROWTH_2" hidden="1">"c162"</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OFFIC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ED" hidden="1">"c2116"</definedName>
    <definedName name="IQ_OPTIONS_GRANTED" hidden="1">"c2673"</definedName>
    <definedName name="IQ_OPTIONS_ISSUED" hidden="1">"c857"</definedName>
    <definedName name="IQ_OPTIONS_OS" hidden="1">"c858"</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OUTSTANDING_FILING_DATE_TOTAL" hidden="1">"c2107"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"c1412"</definedName>
    <definedName name="IQ_PRICE_OVER_EPS_EST" hidden="1">"c174"</definedName>
    <definedName name="IQ_PRICE_OVER_EPS_EST_1" hidden="1">"c175"</definedName>
    <definedName name="IQ_PRICE_OVER_LTM_EPS" hidden="1">"c1413"</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hidden="1">"c1126"</definedName>
    <definedName name="IQ_REVENUE_GROWTH_1" hidden="1">"c155"</definedName>
    <definedName name="IQ_REVENUE_GROWTH_2" hidden="1">"c159"</definedName>
    <definedName name="IQ_REVENUE_HIGH_EST" hidden="1">"c1127"</definedName>
    <definedName name="IQ_REVENUE_LOW_EST" hidden="1">"c1128"</definedName>
    <definedName name="IQ_REVENUE_MEDIAN_EST" hidden="1">"c1662"</definedName>
    <definedName name="IQ_REVENUE_NO_EST" hidden="1">"c263"</definedName>
    <definedName name="IQ_REVENUE_NUM_EST" hidden="1">"c1129"</definedName>
    <definedName name="IQ_REVISION_DATE_" hidden="1">38903.437199074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"c1204"</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LASTCLOSE" hidden="1">"c1855"</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ShowHideColumns" hidden="1">"iQShowAll"</definedName>
    <definedName name="iugài" localSheetId="17" hidden="1">[6]FDV_par_sociétés!#REF!</definedName>
    <definedName name="iugài" localSheetId="15" hidden="1">#REF!</definedName>
    <definedName name="iugài" hidden="1">#REF!</definedName>
    <definedName name="iutgçuyf" localSheetId="17" hidden="1">[6]FDV_par_sociétés!$A$8:$IV$8</definedName>
    <definedName name="iutgçuyf" localSheetId="15" hidden="1">#REF!</definedName>
    <definedName name="iutgçuyf" hidden="1">#REF!</definedName>
    <definedName name="jhgf_ytc" localSheetId="17" hidden="1">[4]FDV_par_sociétés!#REF!</definedName>
    <definedName name="jhgf_ytc" localSheetId="15" hidden="1">#REF!</definedName>
    <definedName name="jhgf_ytc" hidden="1">#REF!</definedName>
    <definedName name="kjgf" localSheetId="17" hidden="1">[4]FDV_par_sociétés!#REF!</definedName>
    <definedName name="kjgf" localSheetId="15" hidden="1">#REF!</definedName>
    <definedName name="kjgf" hidden="1">#REF!</definedName>
    <definedName name="kjhfçuft" localSheetId="17" hidden="1">[4]FDV_par_sociétés!#REF!</definedName>
    <definedName name="kjhfçuft" localSheetId="15" hidden="1">#REF!</definedName>
    <definedName name="kjhfçuft" hidden="1">#REF!</definedName>
    <definedName name="Monarch2" localSheetId="17" hidden="1">{"IS",#N/A,FALSE,"IS";"RPTIS",#N/A,FALSE,"RPTIS";"STATS",#N/A,FALSE,"STATS";"CELL",#N/A,FALSE,"CELL";"BS",#N/A,FALSE,"BS"}</definedName>
    <definedName name="Monarch2" localSheetId="16" hidden="1">{"IS",#N/A,FALSE,"IS";"RPTIS",#N/A,FALSE,"RPTIS";"STATS",#N/A,FALSE,"STATS";"CELL",#N/A,FALSE,"CELL";"BS",#N/A,FALSE,"BS"}</definedName>
    <definedName name="Monarch2" localSheetId="18" hidden="1">{"IS",#N/A,FALSE,"IS";"RPTIS",#N/A,FALSE,"RPTIS";"STATS",#N/A,FALSE,"STATS";"CELL",#N/A,FALSE,"CELL";"BS",#N/A,FALSE,"BS"}</definedName>
    <definedName name="Monarch2" localSheetId="15" hidden="1">{"IS",#N/A,FALSE,"IS";"RPTIS",#N/A,FALSE,"RPTIS";"STATS",#N/A,FALSE,"STATS";"CELL",#N/A,FALSE,"CELL";"BS",#N/A,FALSE,"BS"}</definedName>
    <definedName name="Monarch2" localSheetId="13" hidden="1">{"IS",#N/A,FALSE,"IS";"RPTIS",#N/A,FALSE,"RPTIS";"STATS",#N/A,FALSE,"STATS";"CELL",#N/A,FALSE,"CELL";"BS",#N/A,FALSE,"BS"}</definedName>
    <definedName name="Monarch2" localSheetId="4" hidden="1">{"IS",#N/A,FALSE,"IS";"RPTIS",#N/A,FALSE,"RPTIS";"STATS",#N/A,FALSE,"STATS";"CELL",#N/A,FALSE,"CELL";"BS",#N/A,FALSE,"BS"}</definedName>
    <definedName name="Monarch2" localSheetId="6" hidden="1">{"IS",#N/A,FALSE,"IS";"RPTIS",#N/A,FALSE,"RPTIS";"STATS",#N/A,FALSE,"STATS";"CELL",#N/A,FALSE,"CELL";"BS",#N/A,FALSE,"BS"}</definedName>
    <definedName name="Monarch2" hidden="1">{"IS",#N/A,FALSE,"IS";"RPTIS",#N/A,FALSE,"RPTIS";"STATS",#N/A,FALSE,"STATS";"CELL",#N/A,FALSE,"CELL";"BS",#N/A,FALSE,"BS"}</definedName>
    <definedName name="newbel" localSheetId="17" hidden="1">{"IS",#N/A,FALSE,"IS";"RPTIS",#N/A,FALSE,"RPTIS";"STATS",#N/A,FALSE,"STATS";"CELL",#N/A,FALSE,"CELL";"BS",#N/A,FALSE,"BS"}</definedName>
    <definedName name="newbel" localSheetId="16" hidden="1">{"IS",#N/A,FALSE,"IS";"RPTIS",#N/A,FALSE,"RPTIS";"STATS",#N/A,FALSE,"STATS";"CELL",#N/A,FALSE,"CELL";"BS",#N/A,FALSE,"BS"}</definedName>
    <definedName name="newbel" localSheetId="18" hidden="1">{"IS",#N/A,FALSE,"IS";"RPTIS",#N/A,FALSE,"RPTIS";"STATS",#N/A,FALSE,"STATS";"CELL",#N/A,FALSE,"CELL";"BS",#N/A,FALSE,"BS"}</definedName>
    <definedName name="newbel" localSheetId="15" hidden="1">{"IS",#N/A,FALSE,"IS";"RPTIS",#N/A,FALSE,"RPTIS";"STATS",#N/A,FALSE,"STATS";"CELL",#N/A,FALSE,"CELL";"BS",#N/A,FALSE,"BS"}</definedName>
    <definedName name="newbel" localSheetId="13" hidden="1">{"IS",#N/A,FALSE,"IS";"RPTIS",#N/A,FALSE,"RPTIS";"STATS",#N/A,FALSE,"STATS";"CELL",#N/A,FALSE,"CELL";"BS",#N/A,FALSE,"BS"}</definedName>
    <definedName name="newbel" localSheetId="4" hidden="1">{"IS",#N/A,FALSE,"IS";"RPTIS",#N/A,FALSE,"RPTIS";"STATS",#N/A,FALSE,"STATS";"CELL",#N/A,FALSE,"CELL";"BS",#N/A,FALSE,"BS"}</definedName>
    <definedName name="newbel" localSheetId="6" hidden="1">{"IS",#N/A,FALSE,"IS";"RPTIS",#N/A,FALSE,"RPTIS";"STATS",#N/A,FALSE,"STATS";"CELL",#N/A,FALSE,"CELL";"BS",#N/A,FALSE,"BS"}</definedName>
    <definedName name="newbel" hidden="1">{"IS",#N/A,FALSE,"IS";"RPTIS",#N/A,FALSE,"RPTIS";"STATS",#N/A,FALSE,"STATS";"CELL",#N/A,FALSE,"CELL";"BS",#N/A,FALSE,"BS"}</definedName>
    <definedName name="oiufg" localSheetId="15" hidden="1">#REF!</definedName>
    <definedName name="oiufg" hidden="1">#REF!</definedName>
    <definedName name="oiugytc" localSheetId="17" hidden="1">[6]FDV_par_sociétés!#REF!</definedName>
    <definedName name="oiugytc" localSheetId="15" hidden="1">#REF!</definedName>
    <definedName name="oiugytc" hidden="1">#REF!</definedName>
    <definedName name="ougug" localSheetId="17" hidden="1">[6]FDV_par_sociétés!#REF!</definedName>
    <definedName name="ougug" localSheetId="15" hidden="1">#REF!</definedName>
    <definedName name="ougug" hidden="1">#REF!</definedName>
    <definedName name="piuty" localSheetId="17" hidden="1">[6]FDV_par_sociétés!#REF!</definedName>
    <definedName name="piuty" localSheetId="15" hidden="1">#REF!</definedName>
    <definedName name="piuty" hidden="1">#REF!</definedName>
    <definedName name="PPP_CI">#REF!</definedName>
    <definedName name="PPP_CM">#REF!</definedName>
    <definedName name="PPP_ID">#REF!</definedName>
    <definedName name="PPP_IN">#REF!</definedName>
    <definedName name="Pr_Flete">#REF!</definedName>
    <definedName name="Pr_Ind">#REF!</definedName>
    <definedName name="Pr_Proc_Exp">#REF!</definedName>
    <definedName name="Pr_Proc_Ind">#REF!</definedName>
    <definedName name="Pr_Prom_Alq">#REF!</definedName>
    <definedName name="Pr_Prom_Cosecha">#REF!</definedName>
    <definedName name="Receiving_Body">#REF!</definedName>
    <definedName name="sencount" hidden="1">1</definedName>
    <definedName name="SIG_AMTIFRS_firstLine" localSheetId="17" hidden="1">[7]AMTIFRS!$P$527</definedName>
    <definedName name="SIG_AMTIFRS_firstLine" localSheetId="15" hidden="1">#REF!</definedName>
    <definedName name="SIG_AMTIFRS_firstLine" hidden="1">#REF!</definedName>
    <definedName name="SIG_AMTIFRS_IsControlOK" localSheetId="17" hidden="1">[7]AMTIFRS!$P$526</definedName>
    <definedName name="SIG_AMTIFRS_IsControlOK" localSheetId="15" hidden="1">#REF!</definedName>
    <definedName name="SIG_AMTIFRS_IsControlOK" hidden="1">#REF!</definedName>
    <definedName name="SIG_AMTIFRS_lastLine" localSheetId="17" hidden="1">[7]AMTIFRS!$P$528</definedName>
    <definedName name="SIG_AMTIFRS_lastLine" localSheetId="15" hidden="1">#REF!</definedName>
    <definedName name="SIG_AMTIFRS_lastLine" hidden="1">#REF!</definedName>
    <definedName name="SIG_AMTIFRS_TITLECOL" localSheetId="17" hidden="1">[7]AMTIFRS!$B$1:$B$65536</definedName>
    <definedName name="SIG_AMTIFRS_TITLECOL" localSheetId="15" hidden="1">#REF!</definedName>
    <definedName name="SIG_AMTIFRS_TITLECOL" hidden="1">#REF!</definedName>
    <definedName name="SIG_AMTIFRS_TITLELINE" localSheetId="17" hidden="1">[7]AMTIFRS!$A$7:$IV$7</definedName>
    <definedName name="SIG_AMTIFRS_TITLELINE" localSheetId="15" hidden="1">#REF!</definedName>
    <definedName name="SIG_AMTIFRS_TITLELINE" hidden="1">#REF!</definedName>
    <definedName name="SIG_ANATRESO_H010" localSheetId="15" hidden="1">#REF!</definedName>
    <definedName name="SIG_ANATRESO_H010" hidden="1">#REF!</definedName>
    <definedName name="SIG_ANATRESO_H011" localSheetId="15" hidden="1">#REF!</definedName>
    <definedName name="SIG_ANATRESO_H011" hidden="1">#REF!</definedName>
    <definedName name="SIG_ANATRESO_H012" localSheetId="15" hidden="1">#REF!</definedName>
    <definedName name="SIG_ANATRESO_H012" hidden="1">#REF!</definedName>
    <definedName name="SIG_ANATRESO_H013" localSheetId="15" hidden="1">#REF!</definedName>
    <definedName name="SIG_ANATRESO_H013" hidden="1">#REF!</definedName>
    <definedName name="SIG_ANATRESO_H014" localSheetId="15" hidden="1">#REF!</definedName>
    <definedName name="SIG_ANATRESO_H014" hidden="1">#REF!</definedName>
    <definedName name="SIG_ANATRESO_H015" localSheetId="15" hidden="1">#REF!</definedName>
    <definedName name="SIG_ANATRESO_H015" hidden="1">#REF!</definedName>
    <definedName name="SIG_ANATRESO_H016" localSheetId="15" hidden="1">#REF!</definedName>
    <definedName name="SIG_ANATRESO_H016" hidden="1">#REF!</definedName>
    <definedName name="SIG_ANATRESO_H017" localSheetId="15" hidden="1">#REF!</definedName>
    <definedName name="SIG_ANATRESO_H017" hidden="1">#REF!</definedName>
    <definedName name="SIG_ANATRESO_H018" localSheetId="15" hidden="1">#REF!</definedName>
    <definedName name="SIG_ANATRESO_H018" hidden="1">#REF!</definedName>
    <definedName name="SIG_BILANR_firstLine" localSheetId="15" hidden="1">#REF!</definedName>
    <definedName name="SIG_BILANR_firstLine" hidden="1">#REF!</definedName>
    <definedName name="SIG_BILANR_H179" localSheetId="15" hidden="1">#REF!</definedName>
    <definedName name="SIG_BILANR_H179" hidden="1">#REF!</definedName>
    <definedName name="SIG_BILANR_H180" localSheetId="15" hidden="1">#REF!</definedName>
    <definedName name="SIG_BILANR_H180" hidden="1">#REF!</definedName>
    <definedName name="SIG_BILANR_H181" localSheetId="15" hidden="1">#REF!</definedName>
    <definedName name="SIG_BILANR_H181" hidden="1">#REF!</definedName>
    <definedName name="SIG_BILANR_H182" localSheetId="15" hidden="1">#REF!</definedName>
    <definedName name="SIG_BILANR_H182" hidden="1">#REF!</definedName>
    <definedName name="SIG_BILANR_H183" localSheetId="15" hidden="1">#REF!</definedName>
    <definedName name="SIG_BILANR_H183" hidden="1">#REF!</definedName>
    <definedName name="SIG_BILANR_H184" localSheetId="15" hidden="1">#REF!</definedName>
    <definedName name="SIG_BILANR_H184" hidden="1">#REF!</definedName>
    <definedName name="SIG_BILANR_H185" localSheetId="15" hidden="1">#REF!</definedName>
    <definedName name="SIG_BILANR_H185" hidden="1">#REF!</definedName>
    <definedName name="SIG_BILANR_H186" localSheetId="15" hidden="1">#REF!</definedName>
    <definedName name="SIG_BILANR_H186" hidden="1">#REF!</definedName>
    <definedName name="SIG_BILANR_H187" localSheetId="15" hidden="1">#REF!</definedName>
    <definedName name="SIG_BILANR_H187" hidden="1">#REF!</definedName>
    <definedName name="SIG_BILANR_H188" localSheetId="15" hidden="1">#REF!</definedName>
    <definedName name="SIG_BILANR_H188" hidden="1">#REF!</definedName>
    <definedName name="SIG_BILANR_H189" localSheetId="15" hidden="1">#REF!</definedName>
    <definedName name="SIG_BILANR_H189" hidden="1">#REF!</definedName>
    <definedName name="SIG_BILANR_H190" localSheetId="15" hidden="1">#REF!</definedName>
    <definedName name="SIG_BILANR_H190" hidden="1">#REF!</definedName>
    <definedName name="SIG_BILANR_H191" localSheetId="15" hidden="1">#REF!</definedName>
    <definedName name="SIG_BILANR_H191" hidden="1">#REF!</definedName>
    <definedName name="SIG_BILANR_H192" localSheetId="15" hidden="1">#REF!</definedName>
    <definedName name="SIG_BILANR_H192" hidden="1">#REF!</definedName>
    <definedName name="SIG_BILANR_H193" localSheetId="15" hidden="1">#REF!</definedName>
    <definedName name="SIG_BILANR_H193" hidden="1">#REF!</definedName>
    <definedName name="SIG_BILANR_H194" localSheetId="15" hidden="1">#REF!</definedName>
    <definedName name="SIG_BILANR_H194" hidden="1">#REF!</definedName>
    <definedName name="SIG_BILANR_H195" localSheetId="15" hidden="1">#REF!</definedName>
    <definedName name="SIG_BILANR_H195" hidden="1">#REF!</definedName>
    <definedName name="SIG_BILANR_IsControlOK" localSheetId="15" hidden="1">#REF!</definedName>
    <definedName name="SIG_BILANR_IsControlOK" hidden="1">#REF!</definedName>
    <definedName name="SIG_BILANR_lastLine" localSheetId="15" hidden="1">#REF!</definedName>
    <definedName name="SIG_BILANR_lastLine" hidden="1">#REF!</definedName>
    <definedName name="SIG_BILANR_TITLECOL" localSheetId="15" hidden="1">#REF!</definedName>
    <definedName name="SIG_BILANR_TITLECOL" hidden="1">#REF!</definedName>
    <definedName name="SIG_BILANR_TITLELINE" localSheetId="15" hidden="1">#REF!</definedName>
    <definedName name="SIG_BILANR_TITLELINE" hidden="1">#REF!</definedName>
    <definedName name="SIG_CDRBUDG_firstLine" localSheetId="15" hidden="1">#REF!</definedName>
    <definedName name="SIG_CDRBUDG_firstLine" hidden="1">#REF!</definedName>
    <definedName name="SIG_CDRBUDG_H108" localSheetId="15" hidden="1">#REF!</definedName>
    <definedName name="SIG_CDRBUDG_H108" hidden="1">#REF!</definedName>
    <definedName name="SIG_CDRBUDG_H109" localSheetId="15" hidden="1">#REF!</definedName>
    <definedName name="SIG_CDRBUDG_H109" hidden="1">#REF!</definedName>
    <definedName name="SIG_CDRBUDG_H110" localSheetId="15" hidden="1">#REF!</definedName>
    <definedName name="SIG_CDRBUDG_H110" hidden="1">#REF!</definedName>
    <definedName name="SIG_CDRBUDG_IsControlOK" localSheetId="15" hidden="1">#REF!</definedName>
    <definedName name="SIG_CDRBUDG_IsControlOK" hidden="1">#REF!</definedName>
    <definedName name="SIG_CDRBUDG_lastLine" localSheetId="15" hidden="1">#REF!</definedName>
    <definedName name="SIG_CDRBUDG_lastLine" hidden="1">#REF!</definedName>
    <definedName name="SIG_CDRBUDG_TITLECOL" localSheetId="15" hidden="1">#REF!</definedName>
    <definedName name="SIG_CDRBUDG_TITLECOL" hidden="1">#REF!</definedName>
    <definedName name="SIG_CDRBUDG_TITLELINE" localSheetId="15" hidden="1">#REF!</definedName>
    <definedName name="SIG_CDRBUDG_TITLELINE" hidden="1">#REF!</definedName>
    <definedName name="SIG_CDRIFRS_firstLine" localSheetId="15" hidden="1">#REF!</definedName>
    <definedName name="SIG_CDRIFRS_firstLine" hidden="1">#REF!</definedName>
    <definedName name="SIG_CDRIFRS_IsControlOK" localSheetId="15" hidden="1">#REF!</definedName>
    <definedName name="SIG_CDRIFRS_IsControlOK" hidden="1">#REF!</definedName>
    <definedName name="SIG_CDRIFRS_lastLine" localSheetId="15" hidden="1">#REF!</definedName>
    <definedName name="SIG_CDRIFRS_lastLine" hidden="1">#REF!</definedName>
    <definedName name="SIG_CDRIFRS_TITLECOL" localSheetId="15" hidden="1">#REF!</definedName>
    <definedName name="SIG_CDRIFRS_TITLECOL" hidden="1">#REF!</definedName>
    <definedName name="SIG_CDRIFRS_TITLELINE" localSheetId="15" hidden="1">#REF!</definedName>
    <definedName name="SIG_CDRIFRS_TITLELINE" hidden="1">#REF!</definedName>
    <definedName name="SIG_CDRR_firstLine" localSheetId="15" hidden="1">#REF!</definedName>
    <definedName name="SIG_CDRR_firstLine" hidden="1">#REF!</definedName>
    <definedName name="SIG_CDRR_H016" localSheetId="15" hidden="1">#REF!</definedName>
    <definedName name="SIG_CDRR_H016" hidden="1">#REF!</definedName>
    <definedName name="SIG_CDRR_H017" localSheetId="15" hidden="1">#REF!</definedName>
    <definedName name="SIG_CDRR_H017" hidden="1">#REF!</definedName>
    <definedName name="SIG_CDRR_H018" localSheetId="15" hidden="1">#REF!</definedName>
    <definedName name="SIG_CDRR_H018" hidden="1">#REF!</definedName>
    <definedName name="SIG_CDRR_H019" localSheetId="15" hidden="1">#REF!</definedName>
    <definedName name="SIG_CDRR_H019" hidden="1">#REF!</definedName>
    <definedName name="SIG_CDRR_H020" localSheetId="15" hidden="1">#REF!</definedName>
    <definedName name="SIG_CDRR_H020" hidden="1">#REF!</definedName>
    <definedName name="SIG_CDRR_H021" localSheetId="15" hidden="1">#REF!</definedName>
    <definedName name="SIG_CDRR_H021" hidden="1">#REF!</definedName>
    <definedName name="SIG_CDRR_H022" localSheetId="15" hidden="1">#REF!</definedName>
    <definedName name="SIG_CDRR_H022" hidden="1">#REF!</definedName>
    <definedName name="SIG_CDRR_H023" localSheetId="15" hidden="1">#REF!</definedName>
    <definedName name="SIG_CDRR_H023" hidden="1">#REF!</definedName>
    <definedName name="SIG_CDRR_H024" localSheetId="15" hidden="1">#REF!</definedName>
    <definedName name="SIG_CDRR_H024" hidden="1">#REF!</definedName>
    <definedName name="SIG_CDRR_H025" localSheetId="15" hidden="1">#REF!</definedName>
    <definedName name="SIG_CDRR_H025" hidden="1">#REF!</definedName>
    <definedName name="SIG_CDRR_H026" localSheetId="15" hidden="1">#REF!</definedName>
    <definedName name="SIG_CDRR_H026" hidden="1">#REF!</definedName>
    <definedName name="SIG_CDRR_H027" localSheetId="15" hidden="1">#REF!</definedName>
    <definedName name="SIG_CDRR_H027" hidden="1">#REF!</definedName>
    <definedName name="SIG_CDRR_H028" localSheetId="15" hidden="1">#REF!</definedName>
    <definedName name="SIG_CDRR_H028" hidden="1">#REF!</definedName>
    <definedName name="SIG_CDRR_H029" localSheetId="15" hidden="1">#REF!</definedName>
    <definedName name="SIG_CDRR_H029" hidden="1">#REF!</definedName>
    <definedName name="SIG_CDRR_H030" localSheetId="15" hidden="1">#REF!</definedName>
    <definedName name="SIG_CDRR_H030" hidden="1">#REF!</definedName>
    <definedName name="SIG_CDRR_H031" localSheetId="15" hidden="1">#REF!</definedName>
    <definedName name="SIG_CDRR_H031" hidden="1">#REF!</definedName>
    <definedName name="SIG_CDRR_H032" localSheetId="15" hidden="1">#REF!</definedName>
    <definedName name="SIG_CDRR_H032" hidden="1">#REF!</definedName>
    <definedName name="SIG_CDRR_IsControlOK" localSheetId="15" hidden="1">#REF!</definedName>
    <definedName name="SIG_CDRR_IsControlOK" hidden="1">#REF!</definedName>
    <definedName name="SIG_CDRR_lastLine" localSheetId="15" hidden="1">#REF!</definedName>
    <definedName name="SIG_CDRR_lastLine" hidden="1">#REF!</definedName>
    <definedName name="SIG_CDRR_TITLECOL" localSheetId="15" hidden="1">#REF!</definedName>
    <definedName name="SIG_CDRR_TITLECOL" hidden="1">#REF!</definedName>
    <definedName name="SIG_CDRR_TITLELINE" localSheetId="17" hidden="1">[8]CDRR!#REF!</definedName>
    <definedName name="SIG_CDRR_TITLELINE" localSheetId="15" hidden="1">#REF!</definedName>
    <definedName name="SIG_CDRR_TITLELINE" hidden="1">#REF!</definedName>
    <definedName name="SIG_CDRR2_H025" localSheetId="15" hidden="1">#REF!</definedName>
    <definedName name="SIG_CDRR2_H025" hidden="1">#REF!</definedName>
    <definedName name="SIG_CDRR2_H026" localSheetId="15" hidden="1">#REF!</definedName>
    <definedName name="SIG_CDRR2_H026" hidden="1">#REF!</definedName>
    <definedName name="SIG_CDRR2_H027" localSheetId="15" hidden="1">#REF!</definedName>
    <definedName name="SIG_CDRR2_H027" hidden="1">#REF!</definedName>
    <definedName name="SIG_CDRR2_H028" localSheetId="15" hidden="1">#REF!</definedName>
    <definedName name="SIG_CDRR2_H028" hidden="1">#REF!</definedName>
    <definedName name="SIG_CDRR2_H029" localSheetId="15" hidden="1">#REF!</definedName>
    <definedName name="SIG_CDRR2_H029" hidden="1">#REF!</definedName>
    <definedName name="SIG_CDRR2_H030" localSheetId="15" hidden="1">#REF!</definedName>
    <definedName name="SIG_CDRR2_H030" hidden="1">#REF!</definedName>
    <definedName name="SIG_CDRR2_H031" localSheetId="15" hidden="1">#REF!</definedName>
    <definedName name="SIG_CDRR2_H031" hidden="1">#REF!</definedName>
    <definedName name="SIG_CDRR2_H032" localSheetId="15" hidden="1">#REF!</definedName>
    <definedName name="SIG_CDRR2_H032" hidden="1">#REF!</definedName>
    <definedName name="SIG_CDRR2_H033" localSheetId="15" hidden="1">#REF!</definedName>
    <definedName name="SIG_CDRR2_H033" hidden="1">#REF!</definedName>
    <definedName name="SIG_CDRR2_H034" localSheetId="15" hidden="1">#REF!</definedName>
    <definedName name="SIG_CDRR2_H034" hidden="1">#REF!</definedName>
    <definedName name="SIG_CDRR2_H035" localSheetId="15" hidden="1">#REF!</definedName>
    <definedName name="SIG_CDRR2_H035" hidden="1">#REF!</definedName>
    <definedName name="SIG_CDRR2_H036" localSheetId="15" hidden="1">#REF!</definedName>
    <definedName name="SIG_CDRR2_H036" hidden="1">#REF!</definedName>
    <definedName name="SIG_CDRR2_H037" localSheetId="15" hidden="1">#REF!</definedName>
    <definedName name="SIG_CDRR2_H037" hidden="1">#REF!</definedName>
    <definedName name="SIG_CDRR2_H038" localSheetId="15" hidden="1">#REF!</definedName>
    <definedName name="SIG_CDRR2_H038" hidden="1">#REF!</definedName>
    <definedName name="SIG_CDRR2_H039" localSheetId="15" hidden="1">#REF!</definedName>
    <definedName name="SIG_CDRR2_H039" hidden="1">#REF!</definedName>
    <definedName name="SIG_CDRR2_H040" localSheetId="15" hidden="1">#REF!</definedName>
    <definedName name="SIG_CDRR2_H040" hidden="1">#REF!</definedName>
    <definedName name="SIG_CDRR2_H041" localSheetId="15" hidden="1">#REF!</definedName>
    <definedName name="SIG_CDRR2_H041" hidden="1">#REF!</definedName>
    <definedName name="SIG_CDRREP_firstLine" localSheetId="15" hidden="1">#REF!</definedName>
    <definedName name="SIG_CDRREP_firstLine" hidden="1">#REF!</definedName>
    <definedName name="SIG_CDRREP_H108" localSheetId="15" hidden="1">#REF!</definedName>
    <definedName name="SIG_CDRREP_H108" hidden="1">#REF!</definedName>
    <definedName name="SIG_CDRREP_H109" localSheetId="15" hidden="1">#REF!</definedName>
    <definedName name="SIG_CDRREP_H109" hidden="1">#REF!</definedName>
    <definedName name="SIG_CDRREP_H110" localSheetId="15" hidden="1">#REF!</definedName>
    <definedName name="SIG_CDRREP_H110" hidden="1">#REF!</definedName>
    <definedName name="SIG_CDRREP_IsControlOK" localSheetId="15" hidden="1">#REF!</definedName>
    <definedName name="SIG_CDRREP_IsControlOK" hidden="1">#REF!</definedName>
    <definedName name="SIG_CDRREP_lastLine" localSheetId="15" hidden="1">#REF!</definedName>
    <definedName name="SIG_CDRREP_lastLine" hidden="1">#REF!</definedName>
    <definedName name="SIG_CDRREP_TITLECOL" localSheetId="15" hidden="1">#REF!</definedName>
    <definedName name="SIG_CDRREP_TITLECOL" hidden="1">#REF!</definedName>
    <definedName name="SIG_CDRREP_TITLELINE" localSheetId="15" hidden="1">#REF!</definedName>
    <definedName name="SIG_CDRREP_TITLELINE" hidden="1">#REF!</definedName>
    <definedName name="SIG_CDRREPNF_firstLine" localSheetId="15" hidden="1">#REF!</definedName>
    <definedName name="SIG_CDRREPNF_firstLine" hidden="1">#REF!</definedName>
    <definedName name="SIG_CDRREPNF_IsControlOK" localSheetId="15" hidden="1">#REF!</definedName>
    <definedName name="SIG_CDRREPNF_IsControlOK" hidden="1">#REF!</definedName>
    <definedName name="SIG_CDRREPNF_lastLine" localSheetId="15" hidden="1">#REF!</definedName>
    <definedName name="SIG_CDRREPNF_lastLine" hidden="1">#REF!</definedName>
    <definedName name="SIG_CDRREPNF_TITLECOL" localSheetId="15" hidden="1">#REF!</definedName>
    <definedName name="SIG_CDRREPNF_TITLECOL" hidden="1">#REF!</definedName>
    <definedName name="SIG_CDRREPNF_TITLELINE" localSheetId="15" hidden="1">#REF!</definedName>
    <definedName name="SIG_CDRREPNF_TITLELINE" hidden="1">#REF!</definedName>
    <definedName name="SIG_CDRSTNF2_firstLine" localSheetId="15" hidden="1">#REF!</definedName>
    <definedName name="SIG_CDRSTNF2_firstLine" hidden="1">#REF!</definedName>
    <definedName name="SIG_CDRSTNF2_IsControlOK" localSheetId="15" hidden="1">#REF!</definedName>
    <definedName name="SIG_CDRSTNF2_IsControlOK" hidden="1">#REF!</definedName>
    <definedName name="SIG_CDRSTNF2_lastLine" localSheetId="15" hidden="1">#REF!</definedName>
    <definedName name="SIG_CDRSTNF2_lastLine" hidden="1">#REF!</definedName>
    <definedName name="SIG_CDRSTNF2_TITLELINE" localSheetId="15" hidden="1">#REF!</definedName>
    <definedName name="SIG_CDRSTNF2_TITLELINE" hidden="1">#REF!</definedName>
    <definedName name="SIG_COMPRUB_H001" localSheetId="15" hidden="1">#REF!</definedName>
    <definedName name="SIG_COMPRUB_H001" hidden="1">#REF!</definedName>
    <definedName name="SIG_COMPRUB_H002" localSheetId="15" hidden="1">#REF!</definedName>
    <definedName name="SIG_COMPRUB_H002" hidden="1">#REF!</definedName>
    <definedName name="SIG_COMPRUB_H003" localSheetId="15" hidden="1">#REF!</definedName>
    <definedName name="SIG_COMPRUB_H003" hidden="1">#REF!</definedName>
    <definedName name="SIG_COMPRUB_H004" localSheetId="15" hidden="1">#REF!</definedName>
    <definedName name="SIG_COMPRUB_H004" hidden="1">#REF!</definedName>
    <definedName name="SIG_COMPRUB_H005" localSheetId="15" hidden="1">#REF!</definedName>
    <definedName name="SIG_COMPRUB_H005" hidden="1">#REF!</definedName>
    <definedName name="SIG_COMPRUB_H006" localSheetId="15" hidden="1">#REF!</definedName>
    <definedName name="SIG_COMPRUB_H006" hidden="1">#REF!</definedName>
    <definedName name="SIG_COMPRUB_H010" localSheetId="15" hidden="1">#REF!</definedName>
    <definedName name="SIG_COMPRUB_H010" hidden="1">#REF!</definedName>
    <definedName name="SIG_COMPRUB_H011" localSheetId="15" hidden="1">#REF!</definedName>
    <definedName name="SIG_COMPRUB_H011" hidden="1">#REF!</definedName>
    <definedName name="SIG_COMPRUB_H012" localSheetId="15" hidden="1">#REF!</definedName>
    <definedName name="SIG_COMPRUB_H012" hidden="1">#REF!</definedName>
    <definedName name="SIG_COMPRUB_H013" localSheetId="15" hidden="1">#REF!</definedName>
    <definedName name="SIG_COMPRUB_H013" hidden="1">#REF!</definedName>
    <definedName name="SIG_COMPRUB_H014" localSheetId="15" hidden="1">#REF!</definedName>
    <definedName name="SIG_COMPRUB_H014" hidden="1">#REF!</definedName>
    <definedName name="SIG_COMPRUB_H016" localSheetId="15" hidden="1">#REF!</definedName>
    <definedName name="SIG_COMPRUB_H016" hidden="1">#REF!</definedName>
    <definedName name="SIG_COMPRUB_H017" localSheetId="15" hidden="1">#REF!</definedName>
    <definedName name="SIG_COMPRUB_H017" hidden="1">#REF!</definedName>
    <definedName name="SIG_COMPRUB_H018" localSheetId="15" hidden="1">#REF!</definedName>
    <definedName name="SIG_COMPRUB_H018" hidden="1">#REF!</definedName>
    <definedName name="SIG_COMPRUB_H019" localSheetId="15" hidden="1">#REF!</definedName>
    <definedName name="SIG_COMPRUB_H019" hidden="1">#REF!</definedName>
    <definedName name="SIG_COMPRUBR_firstLine" localSheetId="15" hidden="1">#REF!</definedName>
    <definedName name="SIG_COMPRUBR_firstLine" hidden="1">#REF!</definedName>
    <definedName name="SIG_COMPRUBR_IsControlOK" localSheetId="15" hidden="1">#REF!</definedName>
    <definedName name="SIG_COMPRUBR_IsControlOK" hidden="1">#REF!</definedName>
    <definedName name="SIG_COMPRUBR_lastLine" localSheetId="15" hidden="1">#REF!</definedName>
    <definedName name="SIG_COMPRUBR_lastLine" hidden="1">#REF!</definedName>
    <definedName name="SIG_COMPRUBR_TITLELINE" localSheetId="15" hidden="1">#REF!</definedName>
    <definedName name="SIG_COMPRUBR_TITLELINE" hidden="1">#REF!</definedName>
    <definedName name="SIG_CONTROLE" localSheetId="15" hidden="1">#REF!</definedName>
    <definedName name="SIG_CONTROLE" hidden="1">#REF!</definedName>
    <definedName name="SIG_Controles" localSheetId="15" hidden="1">#REF!</definedName>
    <definedName name="SIG_Controles" hidden="1">#REF!</definedName>
    <definedName name="SIG_DERNIERECOLONNE" localSheetId="15" hidden="1">#REF!</definedName>
    <definedName name="SIG_DERNIERECOLONNE" hidden="1">#REF!</definedName>
    <definedName name="SIG_DERNIERECOLONNE_CDR" localSheetId="17" hidden="1">[9]CDRNATNF!$V$1:$V$65536</definedName>
    <definedName name="SIG_DERNIERECOLONNE_CDR" localSheetId="15" hidden="1">#REF!</definedName>
    <definedName name="SIG_DERNIERECOLONNE_CDR" hidden="1">#REF!</definedName>
    <definedName name="SIG_EFFECZGE_firstLine" localSheetId="15" hidden="1">#REF!</definedName>
    <definedName name="SIG_EFFECZGE_firstLine" hidden="1">#REF!</definedName>
    <definedName name="SIG_EFFECZGE_IsControlOK" localSheetId="15" hidden="1">#REF!</definedName>
    <definedName name="SIG_EFFECZGE_IsControlOK" hidden="1">#REF!</definedName>
    <definedName name="SIG_EFFECZGE_lastLine" localSheetId="15" hidden="1">#REF!</definedName>
    <definedName name="SIG_EFFECZGE_lastLine" hidden="1">#REF!</definedName>
    <definedName name="SIG_EFFECZGE_TITLELINE" localSheetId="15" hidden="1">#REF!</definedName>
    <definedName name="SIG_EFFECZGE_TITLELINE" hidden="1">#REF!</definedName>
    <definedName name="SIG_EFFFCTR_firstLine" localSheetId="17" hidden="1">'[10]Effectif par fonctions'!#REF!</definedName>
    <definedName name="SIG_EFFFCTR_firstLine" localSheetId="15" hidden="1">#REF!</definedName>
    <definedName name="SIG_EFFFCTR_firstLine" hidden="1">#REF!</definedName>
    <definedName name="SIG_EFFFCTR_IsControlOK" localSheetId="17" hidden="1">'[10]Effectif par fonctions'!#REF!</definedName>
    <definedName name="SIG_EFFFCTR_IsControlOK" localSheetId="15" hidden="1">#REF!</definedName>
    <definedName name="SIG_EFFFCTR_IsControlOK" hidden="1">#REF!</definedName>
    <definedName name="SIG_EFFFCTR_lastLine" localSheetId="17" hidden="1">'[10]Effectif par fonctions'!#REF!</definedName>
    <definedName name="SIG_EFFFCTR_lastLine" localSheetId="15" hidden="1">#REF!</definedName>
    <definedName name="SIG_EFFFCTR_lastLine" hidden="1">#REF!</definedName>
    <definedName name="SIG_EFFFCTR_TITLECOL" localSheetId="15" hidden="1">#REF!</definedName>
    <definedName name="SIG_EFFFCTR_TITLECOL" hidden="1">#REF!</definedName>
    <definedName name="SIG_EFFFCTR_TITLELINE" localSheetId="15" hidden="1">#REF!</definedName>
    <definedName name="SIG_EFFFCTR_TITLELINE" hidden="1">#REF!</definedName>
    <definedName name="SIG_EFFSTFCT_firstLine" localSheetId="15" hidden="1">#REF!</definedName>
    <definedName name="SIG_EFFSTFCT_firstLine" hidden="1">#REF!</definedName>
    <definedName name="SIG_EFFSTFCT_IsControlOK" localSheetId="15" hidden="1">#REF!</definedName>
    <definedName name="SIG_EFFSTFCT_IsControlOK" hidden="1">#REF!</definedName>
    <definedName name="SIG_EFFSTFCT_lastLine" localSheetId="15" hidden="1">#REF!</definedName>
    <definedName name="SIG_EFFSTFCT_lastLine" hidden="1">#REF!</definedName>
    <definedName name="SIG_EFFSTFCT_TITLELINE" localSheetId="15" hidden="1">#REF!</definedName>
    <definedName name="SIG_EFFSTFCT_TITLELINE" hidden="1">#REF!</definedName>
    <definedName name="SIG_EFFZGEOR_firstLine" localSheetId="15" hidden="1">#REF!</definedName>
    <definedName name="SIG_EFFZGEOR_firstLine" hidden="1">#REF!</definedName>
    <definedName name="SIG_EFFZGEOR_IsControlOK" localSheetId="15" hidden="1">#REF!</definedName>
    <definedName name="SIG_EFFZGEOR_IsControlOK" hidden="1">#REF!</definedName>
    <definedName name="SIG_EFFZGEOR_lastLine" localSheetId="15" hidden="1">#REF!</definedName>
    <definedName name="SIG_EFFZGEOR_lastLine" hidden="1">#REF!</definedName>
    <definedName name="SIG_EFFZGEOR_TITLECOL" localSheetId="15" hidden="1">#REF!</definedName>
    <definedName name="SIG_EFFZGEOR_TITLECOL" hidden="1">#REF!</definedName>
    <definedName name="SIG_EFFZGEOR_TITLELINE" localSheetId="15" hidden="1">#REF!</definedName>
    <definedName name="SIG_EFFZGEOR_TITLELINE" hidden="1">#REF!</definedName>
    <definedName name="SIG_LENTETER_H019" localSheetId="15" hidden="1">#REF!</definedName>
    <definedName name="SIG_LENTETER_H019" hidden="1">#REF!</definedName>
    <definedName name="SIG_PDTSACT_H0019" localSheetId="15" hidden="1">#REF!</definedName>
    <definedName name="SIG_PDTSACT_H0019" hidden="1">#REF!</definedName>
    <definedName name="SIG_PDTSACT_H0020" localSheetId="15" hidden="1">#REF!</definedName>
    <definedName name="SIG_PDTSACT_H0020" hidden="1">#REF!</definedName>
    <definedName name="SIG_PDTSACT_H0021" localSheetId="15" hidden="1">#REF!</definedName>
    <definedName name="SIG_PDTSACT_H0021" hidden="1">#REF!</definedName>
    <definedName name="SIG_PDTSACT_H0022" localSheetId="15" hidden="1">#REF!</definedName>
    <definedName name="SIG_PDTSACT_H0022" hidden="1">#REF!</definedName>
    <definedName name="SIG_PDTSACT_H0023" localSheetId="15" hidden="1">#REF!</definedName>
    <definedName name="SIG_PDTSACT_H0023" hidden="1">#REF!</definedName>
    <definedName name="SIG_PDTSACT_H0024" localSheetId="15" hidden="1">#REF!</definedName>
    <definedName name="SIG_PDTSACT_H0024" hidden="1">#REF!</definedName>
    <definedName name="SIG_PDTSACT_H0025" localSheetId="15" hidden="1">#REF!</definedName>
    <definedName name="SIG_PDTSACT_H0025" hidden="1">#REF!</definedName>
    <definedName name="SIG_PDTSACT_H0026" localSheetId="15" hidden="1">#REF!</definedName>
    <definedName name="SIG_PDTSACT_H0026" hidden="1">#REF!</definedName>
    <definedName name="SIG_PDTSACT_H0027" localSheetId="15" hidden="1">#REF!</definedName>
    <definedName name="SIG_PDTSACT_H0027" hidden="1">#REF!</definedName>
    <definedName name="SIG_PDTSACT_H0028" localSheetId="15" hidden="1">#REF!</definedName>
    <definedName name="SIG_PDTSACT_H0028" hidden="1">#REF!</definedName>
    <definedName name="SIG_PDTSACT_H0029" localSheetId="15" hidden="1">#REF!</definedName>
    <definedName name="SIG_PDTSACT_H0029" hidden="1">#REF!</definedName>
    <definedName name="SIG_PDTSACT_H0030" localSheetId="15" hidden="1">#REF!</definedName>
    <definedName name="SIG_PDTSACT_H0030" hidden="1">#REF!</definedName>
    <definedName name="SIG_PDTSACT_H0031" localSheetId="15" hidden="1">#REF!</definedName>
    <definedName name="SIG_PDTSACT_H0031" hidden="1">#REF!</definedName>
    <definedName name="SIG_PDTSACT_H0032" localSheetId="15" hidden="1">#REF!</definedName>
    <definedName name="SIG_PDTSACT_H0032" hidden="1">#REF!</definedName>
    <definedName name="SIG_PDTSACT_H0033" localSheetId="15" hidden="1">#REF!</definedName>
    <definedName name="SIG_PDTSACT_H0033" hidden="1">#REF!</definedName>
    <definedName name="SIG_PDTSACT_H0034" localSheetId="15" hidden="1">#REF!</definedName>
    <definedName name="SIG_PDTSACT_H0034" hidden="1">#REF!</definedName>
    <definedName name="SIG_PDTSACT_H0035" localSheetId="15" hidden="1">#REF!</definedName>
    <definedName name="SIG_PDTSACT_H0035" hidden="1">#REF!</definedName>
    <definedName name="SIG_PERSIFRS_firstLine" localSheetId="15" hidden="1">#REF!</definedName>
    <definedName name="SIG_PERSIFRS_firstLine" hidden="1">#REF!</definedName>
    <definedName name="SIG_PERSIFRS_H0015" localSheetId="15" hidden="1">#REF!</definedName>
    <definedName name="SIG_PERSIFRS_H0015" hidden="1">#REF!</definedName>
    <definedName name="SIG_PERSIFRS_H0016" localSheetId="15" hidden="1">#REF!</definedName>
    <definedName name="SIG_PERSIFRS_H0016" hidden="1">#REF!</definedName>
    <definedName name="SIG_PERSIFRS_H0017" localSheetId="15" hidden="1">#REF!</definedName>
    <definedName name="SIG_PERSIFRS_H0017" hidden="1">#REF!</definedName>
    <definedName name="SIG_PERSIFRS_H0018" localSheetId="15" hidden="1">#REF!</definedName>
    <definedName name="SIG_PERSIFRS_H0018" hidden="1">#REF!</definedName>
    <definedName name="SIG_PERSIFRS_H0019" localSheetId="15" hidden="1">#REF!</definedName>
    <definedName name="SIG_PERSIFRS_H0019" hidden="1">#REF!</definedName>
    <definedName name="SIG_PERSIFRS_H0020" localSheetId="15" hidden="1">#REF!</definedName>
    <definedName name="SIG_PERSIFRS_H0020" hidden="1">#REF!</definedName>
    <definedName name="SIG_PERSIFRS_H0021" localSheetId="15" hidden="1">#REF!</definedName>
    <definedName name="SIG_PERSIFRS_H0021" hidden="1">#REF!</definedName>
    <definedName name="SIG_PERSIFRS_H0022" localSheetId="15" hidden="1">#REF!</definedName>
    <definedName name="SIG_PERSIFRS_H0022" hidden="1">#REF!</definedName>
    <definedName name="SIG_PERSIFRS_H0023" localSheetId="15" hidden="1">#REF!</definedName>
    <definedName name="SIG_PERSIFRS_H0023" hidden="1">#REF!</definedName>
    <definedName name="SIG_PERSIFRS_H0024" localSheetId="15" hidden="1">#REF!</definedName>
    <definedName name="SIG_PERSIFRS_H0024" hidden="1">#REF!</definedName>
    <definedName name="SIG_PERSIFRS_H0025" localSheetId="15" hidden="1">#REF!</definedName>
    <definedName name="SIG_PERSIFRS_H0025" hidden="1">#REF!</definedName>
    <definedName name="SIG_PERSIFRS_H0026" localSheetId="15" hidden="1">#REF!</definedName>
    <definedName name="SIG_PERSIFRS_H0026" hidden="1">#REF!</definedName>
    <definedName name="SIG_PERSIFRS_H0027" localSheetId="15" hidden="1">#REF!</definedName>
    <definedName name="SIG_PERSIFRS_H0027" hidden="1">#REF!</definedName>
    <definedName name="SIG_PERSIFRS_H0028" localSheetId="15" hidden="1">#REF!</definedName>
    <definedName name="SIG_PERSIFRS_H0028" hidden="1">#REF!</definedName>
    <definedName name="SIG_PERSIFRS_H0029" localSheetId="15" hidden="1">#REF!</definedName>
    <definedName name="SIG_PERSIFRS_H0029" hidden="1">#REF!</definedName>
    <definedName name="SIG_PERSIFRS_H0030" localSheetId="15" hidden="1">#REF!</definedName>
    <definedName name="SIG_PERSIFRS_H0030" hidden="1">#REF!</definedName>
    <definedName name="SIG_PERSIFRS_H0031" localSheetId="15" hidden="1">#REF!</definedName>
    <definedName name="SIG_PERSIFRS_H0031" hidden="1">#REF!</definedName>
    <definedName name="SIG_PERSIFRS_IsControlOK" localSheetId="15" hidden="1">#REF!</definedName>
    <definedName name="SIG_PERSIFRS_IsControlOK" hidden="1">#REF!</definedName>
    <definedName name="SIG_PERSIFRS_lastLine" localSheetId="15" hidden="1">#REF!</definedName>
    <definedName name="SIG_PERSIFRS_lastLine" hidden="1">#REF!</definedName>
    <definedName name="SIG_PERSIFRS_TITLECOL" localSheetId="15" hidden="1">#REF!</definedName>
    <definedName name="SIG_PERSIFRS_TITLECOL" hidden="1">#REF!</definedName>
    <definedName name="SIG_PERSIFRS_TITLELINE" localSheetId="15" hidden="1">#REF!</definedName>
    <definedName name="SIG_PERSIFRS_TITLELINE" hidden="1">#REF!</definedName>
    <definedName name="SIG_PTBD_AMTIFRS" localSheetId="17" hidden="1">[7]AMTIFRS!$D$29</definedName>
    <definedName name="SIG_PTBD_AMTIFRS" localSheetId="15" hidden="1">#REF!</definedName>
    <definedName name="SIG_PTBD_AMTIFRS" hidden="1">#REF!</definedName>
    <definedName name="SIG_PTBD_BILANR" localSheetId="15" hidden="1">#REF!</definedName>
    <definedName name="SIG_PTBD_BILANR" hidden="1">#REF!</definedName>
    <definedName name="SIG_PTBD_CDRBUDG" localSheetId="15" hidden="1">#REF!</definedName>
    <definedName name="SIG_PTBD_CDRBUDG" hidden="1">#REF!</definedName>
    <definedName name="SIG_PTBD_CDRIFRS" localSheetId="15" hidden="1">#REF!</definedName>
    <definedName name="SIG_PTBD_CDRIFRS" hidden="1">#REF!</definedName>
    <definedName name="SIG_PTBD_CDRR" localSheetId="15" hidden="1">#REF!</definedName>
    <definedName name="SIG_PTBD_CDRR" hidden="1">#REF!</definedName>
    <definedName name="SIG_PTBD_CDRREP" localSheetId="17" hidden="1">'[11]BUDGET03 NF'!#REF!</definedName>
    <definedName name="SIG_PTBD_CDRREP" localSheetId="15" hidden="1">#REF!</definedName>
    <definedName name="SIG_PTBD_CDRREP" hidden="1">#REF!</definedName>
    <definedName name="SIG_PTBD_CDRREPNF" localSheetId="15" hidden="1">#REF!</definedName>
    <definedName name="SIG_PTBD_CDRREPNF" hidden="1">#REF!</definedName>
    <definedName name="SIG_PTBD_CDRSTNF2" localSheetId="15" hidden="1">#REF!</definedName>
    <definedName name="SIG_PTBD_CDRSTNF2" hidden="1">#REF!</definedName>
    <definedName name="SIG_PTBD_COMPRUBR" localSheetId="15" hidden="1">#REF!</definedName>
    <definedName name="SIG_PTBD_COMPRUBR" hidden="1">#REF!</definedName>
    <definedName name="SIG_PTBD_EFFECZGE" localSheetId="15" hidden="1">#REF!</definedName>
    <definedName name="SIG_PTBD_EFFECZGE" hidden="1">#REF!</definedName>
    <definedName name="SIG_PTBD_EFFFCTR" localSheetId="15" hidden="1">#REF!</definedName>
    <definedName name="SIG_PTBD_EFFFCTR" hidden="1">#REF!</definedName>
    <definedName name="SIG_PTBD_EFFSTFCT" localSheetId="15" hidden="1">#REF!</definedName>
    <definedName name="SIG_PTBD_EFFSTFCT" hidden="1">#REF!</definedName>
    <definedName name="SIG_PTBD_EFFZGEOR" localSheetId="15" hidden="1">#REF!</definedName>
    <definedName name="SIG_PTBD_EFFZGEOR" hidden="1">#REF!</definedName>
    <definedName name="SIG_PTBD_PERSIFRS" localSheetId="15" hidden="1">#REF!</definedName>
    <definedName name="SIG_PTBD_PERSIFRS" hidden="1">#REF!</definedName>
    <definedName name="SIG_PTBD_RAMTIFRS" localSheetId="15" hidden="1">#REF!</definedName>
    <definedName name="SIG_PTBD_RAMTIFRS" hidden="1">#REF!</definedName>
    <definedName name="SIG_PTBD_RBS" localSheetId="15" hidden="1">#REF!</definedName>
    <definedName name="SIG_PTBD_RBS" hidden="1">#REF!</definedName>
    <definedName name="SIG_PTBD_RESNAT" localSheetId="17" hidden="1">'[12]Passage MAYGP-GPSQ_RESNAT'!#REF!</definedName>
    <definedName name="SIG_PTBD_RESNAT" localSheetId="15" hidden="1">#REF!</definedName>
    <definedName name="SIG_PTBD_RESNAT" hidden="1">#REF!</definedName>
    <definedName name="SIG_PTBD_RSCDR" localSheetId="17" hidden="1">[13]RSCDR!#REF!</definedName>
    <definedName name="SIG_PTBD_RSCDR" localSheetId="15" hidden="1">#REF!</definedName>
    <definedName name="SIG_PTBD_RSCDR" hidden="1">#REF!</definedName>
    <definedName name="SIG_PTBD_RSCDR4" localSheetId="15" hidden="1">#REF!</definedName>
    <definedName name="SIG_PTBD_RSCDR4" hidden="1">#REF!</definedName>
    <definedName name="SIG_PTBD_SYNPART" localSheetId="15" hidden="1">#REF!</definedName>
    <definedName name="SIG_PTBD_SYNPART" hidden="1">#REF!</definedName>
    <definedName name="SIG_PTBD_TFT2AIAS" localSheetId="15" hidden="1">#REF!</definedName>
    <definedName name="SIG_PTBD_TFT2AIAS" hidden="1">#REF!</definedName>
    <definedName name="SIG_PTBD_TFTC10A" localSheetId="15" hidden="1">#REF!</definedName>
    <definedName name="SIG_PTBD_TFTC10A" hidden="1">#REF!</definedName>
    <definedName name="SIG_PTBD_TFTC9C" localSheetId="15" hidden="1">#REF!</definedName>
    <definedName name="SIG_PTBD_TFTC9C" hidden="1">#REF!</definedName>
    <definedName name="SIG_PTBD_TFTC9IAS" localSheetId="15" hidden="1">#REF!</definedName>
    <definedName name="SIG_PTBD_TFTC9IAS" hidden="1">#REF!</definedName>
    <definedName name="SIG_PTBD_TFTCIAS" localSheetId="15" hidden="1">#REF!</definedName>
    <definedName name="SIG_PTBD_TFTCIAS" hidden="1">#REF!</definedName>
    <definedName name="SIG_PTBD_TFTCIAS2" localSheetId="15" hidden="1">#REF!</definedName>
    <definedName name="SIG_PTBD_TFTCIAS2" hidden="1">#REF!</definedName>
    <definedName name="SIG_PTBD_TFTCNF2" localSheetId="15" hidden="1">#REF!</definedName>
    <definedName name="SIG_PTBD_TFTCNF2" hidden="1">#REF!</definedName>
    <definedName name="SIG_PTBD_VENCANET" localSheetId="15" hidden="1">#REF!</definedName>
    <definedName name="SIG_PTBD_VENCANET" hidden="1">#REF!</definedName>
    <definedName name="SIG_PTBD_VENEFFST" localSheetId="17" hidden="1">'[14]Effectifs par sociétés'!#REF!</definedName>
    <definedName name="SIG_PTBD_VENEFFST" localSheetId="15" hidden="1">#REF!</definedName>
    <definedName name="SIG_PTBD_VENEFFST" hidden="1">#REF!</definedName>
    <definedName name="SIG_PTBD_VENFCGA" localSheetId="15" hidden="1">#REF!</definedName>
    <definedName name="SIG_PTBD_VENFCGA" hidden="1">#REF!</definedName>
    <definedName name="SIG_PTBD_VENFDV" localSheetId="15" hidden="1">#REF!</definedName>
    <definedName name="SIG_PTBD_VENFDV" hidden="1">#REF!</definedName>
    <definedName name="SIG_PTBD_VENFDVRB" localSheetId="15" hidden="1">#REF!</definedName>
    <definedName name="SIG_PTBD_VENFDVRB" hidden="1">#REF!</definedName>
    <definedName name="SIG_PTBD_VENRDDM" localSheetId="15" hidden="1">#REF!</definedName>
    <definedName name="SIG_PTBD_VENRDDM" hidden="1">#REF!</definedName>
    <definedName name="SIG_PTBD_ZCAPEXAC" localSheetId="15" hidden="1">#REF!</definedName>
    <definedName name="SIG_PTBD_ZCAPEXAC" hidden="1">#REF!</definedName>
    <definedName name="SIG_PTBD_ZCAPEXR" localSheetId="15" hidden="1">#REF!</definedName>
    <definedName name="SIG_PTBD_ZCAPEXR" hidden="1">#REF!</definedName>
    <definedName name="SIG_PTBD_ZCAPEXY" localSheetId="15" hidden="1">#REF!</definedName>
    <definedName name="SIG_PTBD_ZCAPEXY" hidden="1">#REF!</definedName>
    <definedName name="SIG_PTBD_ZDGCMAY" localSheetId="17" hidden="1">[15]ZDGCMAY!$P$17</definedName>
    <definedName name="SIG_PTBD_ZDGCMAY" localSheetId="15" hidden="1">#REF!</definedName>
    <definedName name="SIG_PTBD_ZDGCMAY" hidden="1">#REF!</definedName>
    <definedName name="SIG_PTBD_ZDINVCY" localSheetId="15" hidden="1">#REF!</definedName>
    <definedName name="SIG_PTBD_ZDINVCY" hidden="1">#REF!</definedName>
    <definedName name="SIG_PTBD_ZDMKTBU" localSheetId="15" hidden="1">#REF!</definedName>
    <definedName name="SIG_PTBD_ZDMKTBU" hidden="1">#REF!</definedName>
    <definedName name="SIG_PTBD_ZEFFFCT2" localSheetId="15" hidden="1">#REF!</definedName>
    <definedName name="SIG_PTBD_ZEFFFCT2" hidden="1">#REF!</definedName>
    <definedName name="SIG_PTBD_ZPLACTU" localSheetId="15" hidden="1">#REF!</definedName>
    <definedName name="SIG_PTBD_ZPLACTU" hidden="1">#REF!</definedName>
    <definedName name="SIG_PTBD_ZPLBUD" localSheetId="15" hidden="1">#REF!</definedName>
    <definedName name="SIG_PTBD_ZPLBUD" hidden="1">#REF!</definedName>
    <definedName name="SIG_PTBD_ZRREDV" localSheetId="15" hidden="1">#REF!</definedName>
    <definedName name="SIG_PTBD_ZRREDV" hidden="1">#REF!</definedName>
    <definedName name="SIG_PTHG_AMTIFRS" localSheetId="17" hidden="1">[7]AMTIFRS!$C$9</definedName>
    <definedName name="SIG_PTHG_AMTIFRS" localSheetId="15" hidden="1">#REF!</definedName>
    <definedName name="SIG_PTHG_AMTIFRS" hidden="1">#REF!</definedName>
    <definedName name="SIG_PTHG_BILANR" localSheetId="15" hidden="1">#REF!</definedName>
    <definedName name="SIG_PTHG_BILANR" hidden="1">#REF!</definedName>
    <definedName name="SIG_PTHG_CDRBUDG" localSheetId="15" hidden="1">#REF!</definedName>
    <definedName name="SIG_PTHG_CDRBUDG" hidden="1">#REF!</definedName>
    <definedName name="SIG_PTHG_CDRIFRS" localSheetId="15" hidden="1">#REF!</definedName>
    <definedName name="SIG_PTHG_CDRIFRS" hidden="1">#REF!</definedName>
    <definedName name="SIG_PTHG_CDRR" localSheetId="15" hidden="1">#REF!</definedName>
    <definedName name="SIG_PTHG_CDRR" hidden="1">#REF!</definedName>
    <definedName name="SIG_PTHG_CDRREP" localSheetId="15" hidden="1">#REF!</definedName>
    <definedName name="SIG_PTHG_CDRREP" hidden="1">#REF!</definedName>
    <definedName name="SIG_PTHG_CDRREPNF" localSheetId="15" hidden="1">#REF!</definedName>
    <definedName name="SIG_PTHG_CDRREPNF" hidden="1">#REF!</definedName>
    <definedName name="SIG_PTHG_CDRSTNF2" localSheetId="15" hidden="1">#REF!</definedName>
    <definedName name="SIG_PTHG_CDRSTNF2" hidden="1">#REF!</definedName>
    <definedName name="SIG_PTHG_COMPRUBR" localSheetId="15" hidden="1">#REF!</definedName>
    <definedName name="SIG_PTHG_COMPRUBR" hidden="1">#REF!</definedName>
    <definedName name="SIG_PTHG_EFFECZGE" localSheetId="15" hidden="1">#REF!</definedName>
    <definedName name="SIG_PTHG_EFFECZGE" hidden="1">#REF!</definedName>
    <definedName name="SIG_PTHG_EFFFCTR" localSheetId="17" hidden="1">'[10]Effectif par fonctions'!#REF!</definedName>
    <definedName name="SIG_PTHG_EFFFCTR" localSheetId="15" hidden="1">#REF!</definedName>
    <definedName name="SIG_PTHG_EFFFCTR" hidden="1">#REF!</definedName>
    <definedName name="SIG_PTHG_EFFSTFCT" localSheetId="15" hidden="1">#REF!</definedName>
    <definedName name="SIG_PTHG_EFFSTFCT" hidden="1">#REF!</definedName>
    <definedName name="SIG_PTHG_EFFZGEOR" localSheetId="15" hidden="1">#REF!</definedName>
    <definedName name="SIG_PTHG_EFFZGEOR" hidden="1">#REF!</definedName>
    <definedName name="SIG_PTHG_PERSIFRS" localSheetId="15" hidden="1">#REF!</definedName>
    <definedName name="SIG_PTHG_PERSIFRS" hidden="1">#REF!</definedName>
    <definedName name="SIG_PTHG_RAMTIFRS" localSheetId="15" hidden="1">#REF!</definedName>
    <definedName name="SIG_PTHG_RAMTIFRS" hidden="1">#REF!</definedName>
    <definedName name="SIG_PTHG_RBS" localSheetId="15" hidden="1">#REF!</definedName>
    <definedName name="SIG_PTHG_RBS" hidden="1">#REF!</definedName>
    <definedName name="SIG_PTHG_RSCDR4" localSheetId="15" hidden="1">#REF!</definedName>
    <definedName name="SIG_PTHG_RSCDR4" hidden="1">#REF!</definedName>
    <definedName name="SIG_PTHG_SYNPART" localSheetId="15" hidden="1">#REF!</definedName>
    <definedName name="SIG_PTHG_SYNPART" hidden="1">#REF!</definedName>
    <definedName name="SIG_PTHG_TFT2AIAS" localSheetId="15" hidden="1">#REF!</definedName>
    <definedName name="SIG_PTHG_TFT2AIAS" hidden="1">#REF!</definedName>
    <definedName name="SIG_PTHG_TFTC10A" localSheetId="15" hidden="1">#REF!</definedName>
    <definedName name="SIG_PTHG_TFTC10A" hidden="1">#REF!</definedName>
    <definedName name="SIG_PTHG_TFTC9C" localSheetId="15" hidden="1">#REF!</definedName>
    <definedName name="SIG_PTHG_TFTC9C" hidden="1">#REF!</definedName>
    <definedName name="SIG_PTHG_TFTC9IAS" localSheetId="15" hidden="1">#REF!</definedName>
    <definedName name="SIG_PTHG_TFTC9IAS" hidden="1">#REF!</definedName>
    <definedName name="SIG_PTHG_TFTCIAS" localSheetId="15" hidden="1">#REF!</definedName>
    <definedName name="SIG_PTHG_TFTCIAS" hidden="1">#REF!</definedName>
    <definedName name="SIG_PTHG_TFTCIAS2" localSheetId="15" hidden="1">#REF!</definedName>
    <definedName name="SIG_PTHG_TFTCIAS2" hidden="1">#REF!</definedName>
    <definedName name="SIG_PTHG_TFTCNF2" localSheetId="15" hidden="1">#REF!</definedName>
    <definedName name="SIG_PTHG_TFTCNF2" hidden="1">#REF!</definedName>
    <definedName name="SIG_PTHG_VENCANET" localSheetId="15" hidden="1">#REF!</definedName>
    <definedName name="SIG_PTHG_VENCANET" hidden="1">#REF!</definedName>
    <definedName name="SIG_PTHG_VENEFFST" localSheetId="17" hidden="1">[16]VENEFFST!#REF!</definedName>
    <definedName name="SIG_PTHG_VENEFFST" localSheetId="15" hidden="1">#REF!</definedName>
    <definedName name="SIG_PTHG_VENEFFST" hidden="1">#REF!</definedName>
    <definedName name="SIG_PTHG_VENFCGA" localSheetId="15" hidden="1">#REF!</definedName>
    <definedName name="SIG_PTHG_VENFCGA" hidden="1">#REF!</definedName>
    <definedName name="SIG_PTHG_VENFDV" localSheetId="15" hidden="1">#REF!</definedName>
    <definedName name="SIG_PTHG_VENFDV" hidden="1">#REF!</definedName>
    <definedName name="SIG_PTHG_VENFDVRB" localSheetId="15" hidden="1">#REF!</definedName>
    <definedName name="SIG_PTHG_VENFDVRB" hidden="1">#REF!</definedName>
    <definedName name="SIG_PTHG_VENRDDM" localSheetId="15" hidden="1">#REF!</definedName>
    <definedName name="SIG_PTHG_VENRDDM" hidden="1">#REF!</definedName>
    <definedName name="SIG_PTHG_ZCAPEXAC" localSheetId="15" hidden="1">#REF!</definedName>
    <definedName name="SIG_PTHG_ZCAPEXAC" hidden="1">#REF!</definedName>
    <definedName name="SIG_PTHG_ZCAPEXR" localSheetId="15" hidden="1">#REF!</definedName>
    <definedName name="SIG_PTHG_ZCAPEXR" hidden="1">#REF!</definedName>
    <definedName name="SIG_PTHG_ZCAPEXY" localSheetId="15" hidden="1">#REF!</definedName>
    <definedName name="SIG_PTHG_ZCAPEXY" hidden="1">#REF!</definedName>
    <definedName name="SIG_PTHG_ZDGCMAY" localSheetId="17" hidden="1">[15]ZDGCMAY!$B$17</definedName>
    <definedName name="SIG_PTHG_ZDGCMAY" localSheetId="15" hidden="1">#REF!</definedName>
    <definedName name="SIG_PTHG_ZDGCMAY" hidden="1">#REF!</definedName>
    <definedName name="SIG_PTHG_ZDINVCY" localSheetId="15" hidden="1">#REF!</definedName>
    <definedName name="SIG_PTHG_ZDINVCY" hidden="1">#REF!</definedName>
    <definedName name="SIG_PTHG_ZDMKTBU" localSheetId="15" hidden="1">#REF!</definedName>
    <definedName name="SIG_PTHG_ZDMKTBU" hidden="1">#REF!</definedName>
    <definedName name="SIG_PTHG_ZEFFFCT2" localSheetId="15" hidden="1">#REF!</definedName>
    <definedName name="SIG_PTHG_ZEFFFCT2" hidden="1">#REF!</definedName>
    <definedName name="SIG_PTHG_ZPLACTU" localSheetId="15" hidden="1">#REF!</definedName>
    <definedName name="SIG_PTHG_ZPLACTU" hidden="1">#REF!</definedName>
    <definedName name="SIG_PTHG_ZPLBUD" localSheetId="15" hidden="1">#REF!</definedName>
    <definedName name="SIG_PTHG_ZPLBUD" hidden="1">#REF!</definedName>
    <definedName name="SIG_PTHG_ZRREDV" localSheetId="15" hidden="1">#REF!</definedName>
    <definedName name="SIG_PTHG_ZRREDV" hidden="1">#REF!</definedName>
    <definedName name="SIG_RAMTIFRS_firstLine" localSheetId="15" hidden="1">#REF!</definedName>
    <definedName name="SIG_RAMTIFRS_firstLine" hidden="1">#REF!</definedName>
    <definedName name="SIG_RAMTIFRS_H0015" localSheetId="15" hidden="1">#REF!</definedName>
    <definedName name="SIG_RAMTIFRS_H0015" hidden="1">#REF!</definedName>
    <definedName name="SIG_RAMTIFRS_H0016" localSheetId="15" hidden="1">#REF!</definedName>
    <definedName name="SIG_RAMTIFRS_H0016" hidden="1">#REF!</definedName>
    <definedName name="SIG_RAMTIFRS_H0017" localSheetId="15" hidden="1">#REF!</definedName>
    <definedName name="SIG_RAMTIFRS_H0017" hidden="1">#REF!</definedName>
    <definedName name="SIG_RAMTIFRS_H0018" localSheetId="15" hidden="1">#REF!</definedName>
    <definedName name="SIG_RAMTIFRS_H0018" hidden="1">#REF!</definedName>
    <definedName name="SIG_RAMTIFRS_H0019" localSheetId="15" hidden="1">#REF!</definedName>
    <definedName name="SIG_RAMTIFRS_H0019" hidden="1">#REF!</definedName>
    <definedName name="SIG_RAMTIFRS_H0020" localSheetId="15" hidden="1">#REF!</definedName>
    <definedName name="SIG_RAMTIFRS_H0020" hidden="1">#REF!</definedName>
    <definedName name="SIG_RAMTIFRS_H0021" localSheetId="15" hidden="1">#REF!</definedName>
    <definedName name="SIG_RAMTIFRS_H0021" hidden="1">#REF!</definedName>
    <definedName name="SIG_RAMTIFRS_H0022" localSheetId="15" hidden="1">#REF!</definedName>
    <definedName name="SIG_RAMTIFRS_H0022" hidden="1">#REF!</definedName>
    <definedName name="SIG_RAMTIFRS_H0023" localSheetId="15" hidden="1">#REF!</definedName>
    <definedName name="SIG_RAMTIFRS_H0023" hidden="1">#REF!</definedName>
    <definedName name="SIG_RAMTIFRS_H0024" localSheetId="15" hidden="1">#REF!</definedName>
    <definedName name="SIG_RAMTIFRS_H0024" hidden="1">#REF!</definedName>
    <definedName name="SIG_RAMTIFRS_H0025" localSheetId="15" hidden="1">#REF!</definedName>
    <definedName name="SIG_RAMTIFRS_H0025" hidden="1">#REF!</definedName>
    <definedName name="SIG_RAMTIFRS_H0026" localSheetId="15" hidden="1">#REF!</definedName>
    <definedName name="SIG_RAMTIFRS_H0026" hidden="1">#REF!</definedName>
    <definedName name="SIG_RAMTIFRS_H0027" localSheetId="15" hidden="1">#REF!</definedName>
    <definedName name="SIG_RAMTIFRS_H0027" hidden="1">#REF!</definedName>
    <definedName name="SIG_RAMTIFRS_H0028" localSheetId="15" hidden="1">#REF!</definedName>
    <definedName name="SIG_RAMTIFRS_H0028" hidden="1">#REF!</definedName>
    <definedName name="SIG_RAMTIFRS_H0029" localSheetId="15" hidden="1">#REF!</definedName>
    <definedName name="SIG_RAMTIFRS_H0029" hidden="1">#REF!</definedName>
    <definedName name="SIG_RAMTIFRS_H0030" localSheetId="15" hidden="1">#REF!</definedName>
    <definedName name="SIG_RAMTIFRS_H0030" hidden="1">#REF!</definedName>
    <definedName name="SIG_RAMTIFRS_H0031" localSheetId="15" hidden="1">#REF!</definedName>
    <definedName name="SIG_RAMTIFRS_H0031" hidden="1">#REF!</definedName>
    <definedName name="SIG_RAMTIFRS_IsControlOK" localSheetId="15" hidden="1">#REF!</definedName>
    <definedName name="SIG_RAMTIFRS_IsControlOK" hidden="1">#REF!</definedName>
    <definedName name="SIG_RAMTIFRS_lastLine" localSheetId="15" hidden="1">#REF!</definedName>
    <definedName name="SIG_RAMTIFRS_lastLine" hidden="1">#REF!</definedName>
    <definedName name="SIG_RAMTIFRS_TITLECOL" localSheetId="15" hidden="1">#REF!</definedName>
    <definedName name="SIG_RAMTIFRS_TITLECOL" hidden="1">#REF!</definedName>
    <definedName name="SIG_RAMTIFRS_TITLELINE" localSheetId="15" hidden="1">#REF!</definedName>
    <definedName name="SIG_RAMTIFRS_TITLELINE" hidden="1">#REF!</definedName>
    <definedName name="SIG_RBS_firstLine" localSheetId="15" hidden="1">#REF!</definedName>
    <definedName name="SIG_RBS_firstLine" hidden="1">#REF!</definedName>
    <definedName name="SIG_RBS_IsControlOK" localSheetId="15" hidden="1">#REF!</definedName>
    <definedName name="SIG_RBS_IsControlOK" hidden="1">#REF!</definedName>
    <definedName name="SIG_RBS_lastLine" localSheetId="15" hidden="1">#REF!</definedName>
    <definedName name="SIG_RBS_lastLine" hidden="1">#REF!</definedName>
    <definedName name="SIG_RBS_TITLECOL" localSheetId="15" hidden="1">#REF!</definedName>
    <definedName name="SIG_RBS_TITLECOL" hidden="1">#REF!</definedName>
    <definedName name="SIG_RBS_TITLELINE" localSheetId="15" hidden="1">#REF!</definedName>
    <definedName name="SIG_RBS_TITLELINE" hidden="1">#REF!</definedName>
    <definedName name="SIG_RESNAT_H001" localSheetId="15" hidden="1">#REF!</definedName>
    <definedName name="SIG_RESNAT_H001" hidden="1">#REF!</definedName>
    <definedName name="SIG_RESNAT_H002" localSheetId="15" hidden="1">#REF!</definedName>
    <definedName name="SIG_RESNAT_H002" hidden="1">#REF!</definedName>
    <definedName name="SIG_RESNAT_H003" localSheetId="15" hidden="1">#REF!</definedName>
    <definedName name="SIG_RESNAT_H003" hidden="1">#REF!</definedName>
    <definedName name="SIG_RESNAT_H004" localSheetId="15" hidden="1">#REF!</definedName>
    <definedName name="SIG_RESNAT_H004" hidden="1">#REF!</definedName>
    <definedName name="SIG_RESNAT_H005" localSheetId="15" hidden="1">#REF!</definedName>
    <definedName name="SIG_RESNAT_H005" hidden="1">#REF!</definedName>
    <definedName name="SIG_RESNAT_H006" localSheetId="15" hidden="1">#REF!</definedName>
    <definedName name="SIG_RESNAT_H006" hidden="1">#REF!</definedName>
    <definedName name="SIG_RESNAT_H007" localSheetId="15" hidden="1">#REF!</definedName>
    <definedName name="SIG_RESNAT_H007" hidden="1">#REF!</definedName>
    <definedName name="SIG_RESNAT_H008" localSheetId="15" hidden="1">#REF!</definedName>
    <definedName name="SIG_RESNAT_H008" hidden="1">#REF!</definedName>
    <definedName name="SIG_RESNAT_H009" localSheetId="15" hidden="1">#REF!</definedName>
    <definedName name="SIG_RESNAT_H009" hidden="1">#REF!</definedName>
    <definedName name="SIG_RESNAT_H011" localSheetId="15" hidden="1">#REF!</definedName>
    <definedName name="SIG_RESNAT_H011" hidden="1">#REF!</definedName>
    <definedName name="SIG_RESNAT_H012" localSheetId="15" hidden="1">#REF!</definedName>
    <definedName name="SIG_RESNAT_H012" hidden="1">#REF!</definedName>
    <definedName name="SIG_RESNAT_H013" localSheetId="15" hidden="1">#REF!</definedName>
    <definedName name="SIG_RESNAT_H013" hidden="1">#REF!</definedName>
    <definedName name="SIG_RESNAT_H014" localSheetId="15" hidden="1">#REF!</definedName>
    <definedName name="SIG_RESNAT_H014" hidden="1">#REF!</definedName>
    <definedName name="SIG_RSCDR_H202" localSheetId="15" hidden="1">#REF!</definedName>
    <definedName name="SIG_RSCDR_H202" hidden="1">#REF!</definedName>
    <definedName name="SIG_RSCDR_H203" localSheetId="15" hidden="1">#REF!</definedName>
    <definedName name="SIG_RSCDR_H203" hidden="1">#REF!</definedName>
    <definedName name="SIG_RSCDR_H204" localSheetId="15" hidden="1">#REF!</definedName>
    <definedName name="SIG_RSCDR_H204" hidden="1">#REF!</definedName>
    <definedName name="SIG_RSCDR_H205" localSheetId="15" hidden="1">#REF!</definedName>
    <definedName name="SIG_RSCDR_H205" hidden="1">#REF!</definedName>
    <definedName name="SIG_RSCDR_H206" localSheetId="15" hidden="1">#REF!</definedName>
    <definedName name="SIG_RSCDR_H206" hidden="1">#REF!</definedName>
    <definedName name="SIG_RSCDR_H207" localSheetId="15" hidden="1">#REF!</definedName>
    <definedName name="SIG_RSCDR_H207" hidden="1">#REF!</definedName>
    <definedName name="SIG_RSCDR_H208" localSheetId="15" hidden="1">#REF!</definedName>
    <definedName name="SIG_RSCDR_H208" hidden="1">#REF!</definedName>
    <definedName name="SIG_RSCDR_H209" localSheetId="15" hidden="1">#REF!</definedName>
    <definedName name="SIG_RSCDR_H209" hidden="1">#REF!</definedName>
    <definedName name="SIG_RSCDR_H210" localSheetId="15" hidden="1">#REF!</definedName>
    <definedName name="SIG_RSCDR_H210" hidden="1">#REF!</definedName>
    <definedName name="SIG_RSCDR4_firstLine" localSheetId="15" hidden="1">#REF!</definedName>
    <definedName name="SIG_RSCDR4_firstLine" hidden="1">#REF!</definedName>
    <definedName name="SIG_RSCDR4_H202" localSheetId="15" hidden="1">#REF!</definedName>
    <definedName name="SIG_RSCDR4_H202" hidden="1">#REF!</definedName>
    <definedName name="SIG_RSCDR4_H203" localSheetId="15" hidden="1">#REF!</definedName>
    <definedName name="SIG_RSCDR4_H203" hidden="1">#REF!</definedName>
    <definedName name="SIG_RSCDR4_H204" localSheetId="15" hidden="1">#REF!</definedName>
    <definedName name="SIG_RSCDR4_H204" hidden="1">#REF!</definedName>
    <definedName name="SIG_RSCDR4_H205" localSheetId="15" hidden="1">#REF!</definedName>
    <definedName name="SIG_RSCDR4_H205" hidden="1">#REF!</definedName>
    <definedName name="SIG_RSCDR4_H206" localSheetId="15" hidden="1">#REF!</definedName>
    <definedName name="SIG_RSCDR4_H206" hidden="1">#REF!</definedName>
    <definedName name="SIG_RSCDR4_H207" localSheetId="15" hidden="1">#REF!</definedName>
    <definedName name="SIG_RSCDR4_H207" hidden="1">#REF!</definedName>
    <definedName name="SIG_RSCDR4_H208" localSheetId="15" hidden="1">#REF!</definedName>
    <definedName name="SIG_RSCDR4_H208" hidden="1">#REF!</definedName>
    <definedName name="SIG_RSCDR4_H209" localSheetId="15" hidden="1">#REF!</definedName>
    <definedName name="SIG_RSCDR4_H209" hidden="1">#REF!</definedName>
    <definedName name="SIG_RSCDR4_H210" localSheetId="15" hidden="1">#REF!</definedName>
    <definedName name="SIG_RSCDR4_H210" hidden="1">#REF!</definedName>
    <definedName name="SIG_RSCDR4_IsControlOK" localSheetId="15" hidden="1">#REF!</definedName>
    <definedName name="SIG_RSCDR4_IsControlOK" hidden="1">#REF!</definedName>
    <definedName name="SIG_RSCDR4_lastLine" localSheetId="15" hidden="1">#REF!</definedName>
    <definedName name="SIG_RSCDR4_lastLine" hidden="1">#REF!</definedName>
    <definedName name="SIG_RSCDR4_ListeRangeMontant" localSheetId="15" hidden="1">#REF!</definedName>
    <definedName name="SIG_RSCDR4_ListeRangeMontant" hidden="1">#REF!</definedName>
    <definedName name="SIG_RSCDR4_TITLECOL" localSheetId="15" hidden="1">#REF!</definedName>
    <definedName name="SIG_RSCDR4_TITLECOL" hidden="1">#REF!</definedName>
    <definedName name="SIG_RSCDR4_TITLELINE" localSheetId="15" hidden="1">#REF!</definedName>
    <definedName name="SIG_RSCDR4_TITLELINE" hidden="1">#REF!</definedName>
    <definedName name="SIG_SYNPART_firstLine" localSheetId="15" hidden="1">#REF!</definedName>
    <definedName name="SIG_SYNPART_firstLine" hidden="1">#REF!</definedName>
    <definedName name="SIG_SYNPART_IsControlOK" localSheetId="15" hidden="1">#REF!</definedName>
    <definedName name="SIG_SYNPART_IsControlOK" hidden="1">#REF!</definedName>
    <definedName name="SIG_SYNPART_lastLine" localSheetId="15" hidden="1">#REF!</definedName>
    <definedName name="SIG_SYNPART_lastLine" hidden="1">#REF!</definedName>
    <definedName name="SIG_SYNPART_TITLECOL" localSheetId="15" hidden="1">#REF!</definedName>
    <definedName name="SIG_SYNPART_TITLECOL" hidden="1">#REF!</definedName>
    <definedName name="SIG_SYNPART_TITLELINE" localSheetId="15" hidden="1">#REF!</definedName>
    <definedName name="SIG_SYNPART_TITLELINE" hidden="1">#REF!</definedName>
    <definedName name="SIG_TFT2AIAS_firstLine" localSheetId="15" hidden="1">#REF!</definedName>
    <definedName name="SIG_TFT2AIAS_firstLine" hidden="1">#REF!</definedName>
    <definedName name="SIG_TFT2AIAS_IsControlOK" localSheetId="15" hidden="1">#REF!</definedName>
    <definedName name="SIG_TFT2AIAS_IsControlOK" hidden="1">#REF!</definedName>
    <definedName name="SIG_TFT2AIAS_lastLine" localSheetId="15" hidden="1">#REF!</definedName>
    <definedName name="SIG_TFT2AIAS_lastLine" hidden="1">#REF!</definedName>
    <definedName name="SIG_TFT2AIAS_TITLECOL" localSheetId="15" hidden="1">#REF!</definedName>
    <definedName name="SIG_TFT2AIAS_TITLECOL" hidden="1">#REF!</definedName>
    <definedName name="SIG_TFT2AIAS_TITLELINE" localSheetId="15" hidden="1">#REF!</definedName>
    <definedName name="SIG_TFT2AIAS_TITLELINE" hidden="1">#REF!</definedName>
    <definedName name="SIG_TFTC10A_firstLine" localSheetId="15" hidden="1">#REF!</definedName>
    <definedName name="SIG_TFTC10A_firstLine" hidden="1">#REF!</definedName>
    <definedName name="SIG_TFTC10A_IsControlOK" localSheetId="15" hidden="1">#REF!</definedName>
    <definedName name="SIG_TFTC10A_IsControlOK" hidden="1">#REF!</definedName>
    <definedName name="SIG_TFTC10A_lastLine" localSheetId="15" hidden="1">#REF!</definedName>
    <definedName name="SIG_TFTC10A_lastLine" hidden="1">#REF!</definedName>
    <definedName name="SIG_TFTC10A_TITLECOL" localSheetId="15" hidden="1">#REF!</definedName>
    <definedName name="SIG_TFTC10A_TITLECOL" hidden="1">#REF!</definedName>
    <definedName name="SIG_TFTC10A_TITLELINE" localSheetId="15" hidden="1">#REF!</definedName>
    <definedName name="SIG_TFTC10A_TITLELINE" hidden="1">#REF!</definedName>
    <definedName name="SIG_TFTC9B_H0001" localSheetId="15" hidden="1">#REF!</definedName>
    <definedName name="SIG_TFTC9B_H0001" hidden="1">#REF!</definedName>
    <definedName name="SIG_TFTC9B_H0002" localSheetId="15" hidden="1">#REF!</definedName>
    <definedName name="SIG_TFTC9B_H0002" hidden="1">#REF!</definedName>
    <definedName name="SIG_TFTC9B_H0003" localSheetId="15" hidden="1">#REF!</definedName>
    <definedName name="SIG_TFTC9B_H0003" hidden="1">#REF!</definedName>
    <definedName name="SIG_TFTC9B_H0004" localSheetId="15" hidden="1">#REF!</definedName>
    <definedName name="SIG_TFTC9B_H0004" hidden="1">#REF!</definedName>
    <definedName name="SIG_TFTC9B_H0005" localSheetId="15" hidden="1">#REF!</definedName>
    <definedName name="SIG_TFTC9B_H0005" hidden="1">#REF!</definedName>
    <definedName name="SIG_TFTC9B_H0006" localSheetId="15" hidden="1">#REF!</definedName>
    <definedName name="SIG_TFTC9B_H0006" hidden="1">#REF!</definedName>
    <definedName name="SIG_TFTC9B_H0007" localSheetId="15" hidden="1">#REF!</definedName>
    <definedName name="SIG_TFTC9B_H0007" hidden="1">#REF!</definedName>
    <definedName name="SIG_TFTC9B_H0008" localSheetId="15" hidden="1">#REF!</definedName>
    <definedName name="SIG_TFTC9B_H0008" hidden="1">#REF!</definedName>
    <definedName name="SIG_TFTC9B_H0009" localSheetId="15" hidden="1">#REF!</definedName>
    <definedName name="SIG_TFTC9B_H0009" hidden="1">#REF!</definedName>
    <definedName name="SIG_TFTC9B_H0010" localSheetId="15" hidden="1">#REF!</definedName>
    <definedName name="SIG_TFTC9B_H0010" hidden="1">#REF!</definedName>
    <definedName name="SIG_TFTC9B_H0011" localSheetId="15" hidden="1">#REF!</definedName>
    <definedName name="SIG_TFTC9B_H0011" hidden="1">#REF!</definedName>
    <definedName name="SIG_TFTC9B_H0012" localSheetId="15" hidden="1">#REF!</definedName>
    <definedName name="SIG_TFTC9B_H0012" hidden="1">#REF!</definedName>
    <definedName name="SIG_TFTC9B_H0013" localSheetId="15" hidden="1">#REF!</definedName>
    <definedName name="SIG_TFTC9B_H0013" hidden="1">#REF!</definedName>
    <definedName name="SIG_TFTC9C_firstLine" localSheetId="15" hidden="1">#REF!</definedName>
    <definedName name="SIG_TFTC9C_firstLine" hidden="1">#REF!</definedName>
    <definedName name="SIG_TFTC9C_IsControlOK" localSheetId="15" hidden="1">#REF!</definedName>
    <definedName name="SIG_TFTC9C_IsControlOK" hidden="1">#REF!</definedName>
    <definedName name="SIG_TFTC9C_lastLine" localSheetId="15" hidden="1">#REF!</definedName>
    <definedName name="SIG_TFTC9C_lastLine" hidden="1">#REF!</definedName>
    <definedName name="SIG_TFTC9C_TITLECOL" localSheetId="15" hidden="1">#REF!</definedName>
    <definedName name="SIG_TFTC9C_TITLECOL" hidden="1">#REF!</definedName>
    <definedName name="SIG_TFTC9C_TITLELINE" localSheetId="15" hidden="1">#REF!</definedName>
    <definedName name="SIG_TFTC9C_TITLELINE" hidden="1">#REF!</definedName>
    <definedName name="SIG_TFTC9IAS_firstLine" localSheetId="15" hidden="1">#REF!</definedName>
    <definedName name="SIG_TFTC9IAS_firstLine" hidden="1">#REF!</definedName>
    <definedName name="SIG_TFTC9IAS_H0001" localSheetId="15" hidden="1">#REF!</definedName>
    <definedName name="SIG_TFTC9IAS_H0001" hidden="1">#REF!</definedName>
    <definedName name="SIG_TFTC9IAS_H0002" localSheetId="15" hidden="1">#REF!</definedName>
    <definedName name="SIG_TFTC9IAS_H0002" hidden="1">#REF!</definedName>
    <definedName name="SIG_TFTC9IAS_H0003" localSheetId="15" hidden="1">#REF!</definedName>
    <definedName name="SIG_TFTC9IAS_H0003" hidden="1">#REF!</definedName>
    <definedName name="SIG_TFTC9IAS_H0004" localSheetId="15" hidden="1">#REF!</definedName>
    <definedName name="SIG_TFTC9IAS_H0004" hidden="1">#REF!</definedName>
    <definedName name="SIG_TFTC9IAS_H0005" localSheetId="15" hidden="1">#REF!</definedName>
    <definedName name="SIG_TFTC9IAS_H0005" hidden="1">#REF!</definedName>
    <definedName name="SIG_TFTC9IAS_H0006" localSheetId="15" hidden="1">#REF!</definedName>
    <definedName name="SIG_TFTC9IAS_H0006" hidden="1">#REF!</definedName>
    <definedName name="SIG_TFTC9IAS_H0007" localSheetId="15" hidden="1">#REF!</definedName>
    <definedName name="SIG_TFTC9IAS_H0007" hidden="1">#REF!</definedName>
    <definedName name="SIG_TFTC9IAS_H0008" localSheetId="15" hidden="1">#REF!</definedName>
    <definedName name="SIG_TFTC9IAS_H0008" hidden="1">#REF!</definedName>
    <definedName name="SIG_TFTC9IAS_H0009" localSheetId="15" hidden="1">#REF!</definedName>
    <definedName name="SIG_TFTC9IAS_H0009" hidden="1">#REF!</definedName>
    <definedName name="SIG_TFTC9IAS_H0010" localSheetId="15" hidden="1">#REF!</definedName>
    <definedName name="SIG_TFTC9IAS_H0010" hidden="1">#REF!</definedName>
    <definedName name="SIG_TFTC9IAS_H0011" localSheetId="15" hidden="1">#REF!</definedName>
    <definedName name="SIG_TFTC9IAS_H0011" hidden="1">#REF!</definedName>
    <definedName name="SIG_TFTC9IAS_H0012" localSheetId="15" hidden="1">#REF!</definedName>
    <definedName name="SIG_TFTC9IAS_H0012" hidden="1">#REF!</definedName>
    <definedName name="SIG_TFTC9IAS_H0013" localSheetId="15" hidden="1">#REF!</definedName>
    <definedName name="SIG_TFTC9IAS_H0013" hidden="1">#REF!</definedName>
    <definedName name="SIG_TFTC9IAS_IsControlOK" localSheetId="15" hidden="1">#REF!</definedName>
    <definedName name="SIG_TFTC9IAS_IsControlOK" hidden="1">#REF!</definedName>
    <definedName name="SIG_TFTC9IAS_lastLine" localSheetId="15" hidden="1">#REF!</definedName>
    <definedName name="SIG_TFTC9IAS_lastLine" hidden="1">#REF!</definedName>
    <definedName name="SIG_TFTC9IAS_TITLELINE" localSheetId="15" hidden="1">#REF!</definedName>
    <definedName name="SIG_TFTC9IAS_TITLELINE" hidden="1">#REF!</definedName>
    <definedName name="SIG_TFTCIAS_firstLine" localSheetId="15" hidden="1">#REF!</definedName>
    <definedName name="SIG_TFTCIAS_firstLine" hidden="1">#REF!</definedName>
    <definedName name="SIG_TFTCIAS_H198" localSheetId="15" hidden="1">#REF!</definedName>
    <definedName name="SIG_TFTCIAS_H198" hidden="1">#REF!</definedName>
    <definedName name="SIG_TFTCIAS_H199" localSheetId="15" hidden="1">#REF!</definedName>
    <definedName name="SIG_TFTCIAS_H199" hidden="1">#REF!</definedName>
    <definedName name="SIG_TFTCIAS_H200" localSheetId="15" hidden="1">#REF!</definedName>
    <definedName name="SIG_TFTCIAS_H200" hidden="1">#REF!</definedName>
    <definedName name="SIG_TFTCIAS_H201" localSheetId="15" hidden="1">#REF!</definedName>
    <definedName name="SIG_TFTCIAS_H201" hidden="1">#REF!</definedName>
    <definedName name="SIG_TFTCIAS_H202" localSheetId="15" hidden="1">#REF!</definedName>
    <definedName name="SIG_TFTCIAS_H202" hidden="1">#REF!</definedName>
    <definedName name="SIG_TFTCIAS_H203" localSheetId="15" hidden="1">#REF!</definedName>
    <definedName name="SIG_TFTCIAS_H203" hidden="1">#REF!</definedName>
    <definedName name="SIG_TFTCIAS_H204" localSheetId="15" hidden="1">#REF!</definedName>
    <definedName name="SIG_TFTCIAS_H204" hidden="1">#REF!</definedName>
    <definedName name="SIG_TFTCIAS_H205" localSheetId="15" hidden="1">#REF!</definedName>
    <definedName name="SIG_TFTCIAS_H205" hidden="1">#REF!</definedName>
    <definedName name="SIG_TFTCIAS_H206" localSheetId="15" hidden="1">#REF!</definedName>
    <definedName name="SIG_TFTCIAS_H206" hidden="1">#REF!</definedName>
    <definedName name="SIG_TFTCIAS_H207" localSheetId="15" hidden="1">#REF!</definedName>
    <definedName name="SIG_TFTCIAS_H207" hidden="1">#REF!</definedName>
    <definedName name="SIG_TFTCIAS_H208" localSheetId="15" hidden="1">#REF!</definedName>
    <definedName name="SIG_TFTCIAS_H208" hidden="1">#REF!</definedName>
    <definedName name="SIG_TFTCIAS_H209" localSheetId="15" hidden="1">#REF!</definedName>
    <definedName name="SIG_TFTCIAS_H209" hidden="1">#REF!</definedName>
    <definedName name="SIG_TFTCIAS_H210" localSheetId="15" hidden="1">#REF!</definedName>
    <definedName name="SIG_TFTCIAS_H210" hidden="1">#REF!</definedName>
    <definedName name="SIG_TFTCIAS_H211" localSheetId="15" hidden="1">#REF!</definedName>
    <definedName name="SIG_TFTCIAS_H211" hidden="1">#REF!</definedName>
    <definedName name="SIG_TFTCIAS_H212" localSheetId="15" hidden="1">#REF!</definedName>
    <definedName name="SIG_TFTCIAS_H212" hidden="1">#REF!</definedName>
    <definedName name="SIG_TFTCIAS_IsControlOK" localSheetId="15" hidden="1">#REF!</definedName>
    <definedName name="SIG_TFTCIAS_IsControlOK" hidden="1">#REF!</definedName>
    <definedName name="SIG_TFTCIAS_lastLine" localSheetId="15" hidden="1">#REF!</definedName>
    <definedName name="SIG_TFTCIAS_lastLine" hidden="1">#REF!</definedName>
    <definedName name="SIG_TFTCIAS_TITLECOL" localSheetId="15" hidden="1">#REF!</definedName>
    <definedName name="SIG_TFTCIAS_TITLECOL" hidden="1">#REF!</definedName>
    <definedName name="SIG_TFTCIAS_TITLELINE" localSheetId="15" hidden="1">#REF!</definedName>
    <definedName name="SIG_TFTCIAS_TITLELINE" hidden="1">#REF!</definedName>
    <definedName name="SIG_TFTCIAS2_firstLine" localSheetId="15" hidden="1">#REF!</definedName>
    <definedName name="SIG_TFTCIAS2_firstLine" hidden="1">#REF!</definedName>
    <definedName name="SIG_TFTCIAS2_H198" localSheetId="15" hidden="1">#REF!</definedName>
    <definedName name="SIG_TFTCIAS2_H198" hidden="1">#REF!</definedName>
    <definedName name="SIG_TFTCIAS2_H199" localSheetId="15" hidden="1">#REF!</definedName>
    <definedName name="SIG_TFTCIAS2_H199" hidden="1">#REF!</definedName>
    <definedName name="SIG_TFTCIAS2_H200" localSheetId="15" hidden="1">#REF!</definedName>
    <definedName name="SIG_TFTCIAS2_H200" hidden="1">#REF!</definedName>
    <definedName name="SIG_TFTCIAS2_H201" localSheetId="15" hidden="1">#REF!</definedName>
    <definedName name="SIG_TFTCIAS2_H201" hidden="1">#REF!</definedName>
    <definedName name="SIG_TFTCIAS2_H202" localSheetId="15" hidden="1">#REF!</definedName>
    <definedName name="SIG_TFTCIAS2_H202" hidden="1">#REF!</definedName>
    <definedName name="SIG_TFTCIAS2_H203" localSheetId="15" hidden="1">#REF!</definedName>
    <definedName name="SIG_TFTCIAS2_H203" hidden="1">#REF!</definedName>
    <definedName name="SIG_TFTCIAS2_H204" localSheetId="15" hidden="1">#REF!</definedName>
    <definedName name="SIG_TFTCIAS2_H204" hidden="1">#REF!</definedName>
    <definedName name="SIG_TFTCIAS2_H205" localSheetId="15" hidden="1">#REF!</definedName>
    <definedName name="SIG_TFTCIAS2_H205" hidden="1">#REF!</definedName>
    <definedName name="SIG_TFTCIAS2_H206" localSheetId="15" hidden="1">#REF!</definedName>
    <definedName name="SIG_TFTCIAS2_H206" hidden="1">#REF!</definedName>
    <definedName name="SIG_TFTCIAS2_H207" localSheetId="15" hidden="1">#REF!</definedName>
    <definedName name="SIG_TFTCIAS2_H207" hidden="1">#REF!</definedName>
    <definedName name="SIG_TFTCIAS2_H208" localSheetId="15" hidden="1">#REF!</definedName>
    <definedName name="SIG_TFTCIAS2_H208" hidden="1">#REF!</definedName>
    <definedName name="SIG_TFTCIAS2_H209" localSheetId="15" hidden="1">#REF!</definedName>
    <definedName name="SIG_TFTCIAS2_H209" hidden="1">#REF!</definedName>
    <definedName name="SIG_TFTCIAS2_H210" localSheetId="15" hidden="1">#REF!</definedName>
    <definedName name="SIG_TFTCIAS2_H210" hidden="1">#REF!</definedName>
    <definedName name="SIG_TFTCIAS2_H211" localSheetId="15" hidden="1">#REF!</definedName>
    <definedName name="SIG_TFTCIAS2_H211" hidden="1">#REF!</definedName>
    <definedName name="SIG_TFTCIAS2_H212" localSheetId="15" hidden="1">#REF!</definedName>
    <definedName name="SIG_TFTCIAS2_H212" hidden="1">#REF!</definedName>
    <definedName name="SIG_TFTCIAS2_IsControlOK" localSheetId="15" hidden="1">#REF!</definedName>
    <definedName name="SIG_TFTCIAS2_IsControlOK" hidden="1">#REF!</definedName>
    <definedName name="SIG_TFTCIAS2_lastLine" localSheetId="15" hidden="1">#REF!</definedName>
    <definedName name="SIG_TFTCIAS2_lastLine" hidden="1">#REF!</definedName>
    <definedName name="SIG_TFTCIAS2_TITLECOL" localSheetId="15" hidden="1">#REF!</definedName>
    <definedName name="SIG_TFTCIAS2_TITLECOL" hidden="1">#REF!</definedName>
    <definedName name="SIG_TFTCIAS2_TITLELINE" localSheetId="15" hidden="1">#REF!</definedName>
    <definedName name="SIG_TFTCIAS2_TITLELINE" hidden="1">#REF!</definedName>
    <definedName name="SIG_TFTCNF2_firstLine" localSheetId="15" hidden="1">#REF!</definedName>
    <definedName name="SIG_TFTCNF2_firstLine" hidden="1">#REF!</definedName>
    <definedName name="SIG_TFTCNF2_H198" localSheetId="15" hidden="1">#REF!</definedName>
    <definedName name="SIG_TFTCNF2_H198" hidden="1">#REF!</definedName>
    <definedName name="SIG_TFTCNF2_H199" localSheetId="15" hidden="1">#REF!</definedName>
    <definedName name="SIG_TFTCNF2_H199" hidden="1">#REF!</definedName>
    <definedName name="SIG_TFTCNF2_H200" localSheetId="15" hidden="1">#REF!</definedName>
    <definedName name="SIG_TFTCNF2_H200" hidden="1">#REF!</definedName>
    <definedName name="SIG_TFTCNF2_H201" localSheetId="15" hidden="1">#REF!</definedName>
    <definedName name="SIG_TFTCNF2_H201" hidden="1">#REF!</definedName>
    <definedName name="SIG_TFTCNF2_H202" localSheetId="15" hidden="1">#REF!</definedName>
    <definedName name="SIG_TFTCNF2_H202" hidden="1">#REF!</definedName>
    <definedName name="SIG_TFTCNF2_H203" localSheetId="15" hidden="1">#REF!</definedName>
    <definedName name="SIG_TFTCNF2_H203" hidden="1">#REF!</definedName>
    <definedName name="SIG_TFTCNF2_H204" localSheetId="15" hidden="1">#REF!</definedName>
    <definedName name="SIG_TFTCNF2_H204" hidden="1">#REF!</definedName>
    <definedName name="SIG_TFTCNF2_H205" localSheetId="15" hidden="1">#REF!</definedName>
    <definedName name="SIG_TFTCNF2_H205" hidden="1">#REF!</definedName>
    <definedName name="SIG_TFTCNF2_H206" localSheetId="15" hidden="1">#REF!</definedName>
    <definedName name="SIG_TFTCNF2_H206" hidden="1">#REF!</definedName>
    <definedName name="SIG_TFTCNF2_H207" localSheetId="15" hidden="1">#REF!</definedName>
    <definedName name="SIG_TFTCNF2_H207" hidden="1">#REF!</definedName>
    <definedName name="SIG_TFTCNF2_H208" localSheetId="15" hidden="1">#REF!</definedName>
    <definedName name="SIG_TFTCNF2_H208" hidden="1">#REF!</definedName>
    <definedName name="SIG_TFTCNF2_H209" localSheetId="15" hidden="1">#REF!</definedName>
    <definedName name="SIG_TFTCNF2_H209" hidden="1">#REF!</definedName>
    <definedName name="SIG_TFTCNF2_H210" localSheetId="15" hidden="1">#REF!</definedName>
    <definedName name="SIG_TFTCNF2_H210" hidden="1">#REF!</definedName>
    <definedName name="SIG_TFTCNF2_H211" localSheetId="15" hidden="1">#REF!</definedName>
    <definedName name="SIG_TFTCNF2_H211" hidden="1">#REF!</definedName>
    <definedName name="SIG_TFTCNF2_H212" localSheetId="15" hidden="1">#REF!</definedName>
    <definedName name="SIG_TFTCNF2_H212" hidden="1">#REF!</definedName>
    <definedName name="SIG_TFTCNF2_IsControlOK" localSheetId="15" hidden="1">#REF!</definedName>
    <definedName name="SIG_TFTCNF2_IsControlOK" hidden="1">#REF!</definedName>
    <definedName name="SIG_TFTCNF2_lastLine" localSheetId="15" hidden="1">#REF!</definedName>
    <definedName name="SIG_TFTCNF2_lastLine" hidden="1">#REF!</definedName>
    <definedName name="SIG_TFTCNF2_TITLECOL" localSheetId="15" hidden="1">#REF!</definedName>
    <definedName name="SIG_TFTCNF2_TITLECOL" hidden="1">#REF!</definedName>
    <definedName name="SIG_TFTCNF2_TITLELINE" localSheetId="15" hidden="1">#REF!</definedName>
    <definedName name="SIG_TFTCNF2_TITLELINE" hidden="1">#REF!</definedName>
    <definedName name="SIG_VENCANET_firstLine" localSheetId="15" hidden="1">#REF!</definedName>
    <definedName name="SIG_VENCANET_firstLine" hidden="1">#REF!</definedName>
    <definedName name="SIG_VENCANET_IsControlOK" localSheetId="15" hidden="1">#REF!</definedName>
    <definedName name="SIG_VENCANET_IsControlOK" hidden="1">#REF!</definedName>
    <definedName name="SIG_VENCANET_lastLine" localSheetId="15" hidden="1">#REF!</definedName>
    <definedName name="SIG_VENCANET_lastLine" hidden="1">#REF!</definedName>
    <definedName name="SIG_VENCANET_TITLELINE" localSheetId="15" hidden="1">#REF!</definedName>
    <definedName name="SIG_VENCANET_TITLELINE" hidden="1">#REF!</definedName>
    <definedName name="SIG_VENEFFST_firstLine" localSheetId="17" hidden="1">[16]VENEFFST!#REF!</definedName>
    <definedName name="SIG_VENEFFST_firstLine" localSheetId="15" hidden="1">#REF!</definedName>
    <definedName name="SIG_VENEFFST_firstLine" hidden="1">#REF!</definedName>
    <definedName name="SIG_VENEFFST_IsControlOK" localSheetId="17" hidden="1">[16]VENEFFST!#REF!</definedName>
    <definedName name="SIG_VENEFFST_IsControlOK" localSheetId="15" hidden="1">#REF!</definedName>
    <definedName name="SIG_VENEFFST_IsControlOK" hidden="1">#REF!</definedName>
    <definedName name="SIG_VENEFFST_lastLine" localSheetId="17" hidden="1">[16]VENEFFST!#REF!</definedName>
    <definedName name="SIG_VENEFFST_lastLine" localSheetId="15" hidden="1">#REF!</definedName>
    <definedName name="SIG_VENEFFST_lastLine" hidden="1">#REF!</definedName>
    <definedName name="SIG_VENEFFST_TITLELINE" localSheetId="15" hidden="1">#REF!</definedName>
    <definedName name="SIG_VENEFFST_TITLELINE" hidden="1">#REF!</definedName>
    <definedName name="SIG_VENFCGA_firstLine" localSheetId="15" hidden="1">#REF!</definedName>
    <definedName name="SIG_VENFCGA_firstLine" hidden="1">#REF!</definedName>
    <definedName name="SIG_VENFCGA_IsControlOK" localSheetId="15" hidden="1">#REF!</definedName>
    <definedName name="SIG_VENFCGA_IsControlOK" hidden="1">#REF!</definedName>
    <definedName name="SIG_VENFCGA_lastLine" localSheetId="15" hidden="1">#REF!</definedName>
    <definedName name="SIG_VENFCGA_lastLine" hidden="1">#REF!</definedName>
    <definedName name="SIG_VENFCGA_TITLELINE" localSheetId="15" hidden="1">#REF!</definedName>
    <definedName name="SIG_VENFCGA_TITLELINE" hidden="1">#REF!</definedName>
    <definedName name="SIG_VENFDV_firstLine" localSheetId="15" hidden="1">#REF!</definedName>
    <definedName name="SIG_VENFDV_firstLine" hidden="1">#REF!</definedName>
    <definedName name="SIG_VENFDV_IsControlOK" localSheetId="15" hidden="1">#REF!</definedName>
    <definedName name="SIG_VENFDV_IsControlOK" hidden="1">#REF!</definedName>
    <definedName name="SIG_VENFDV_lastLine" localSheetId="15" hidden="1">#REF!</definedName>
    <definedName name="SIG_VENFDV_lastLine" hidden="1">#REF!</definedName>
    <definedName name="SIG_VENFDV_TITLELINE" localSheetId="15" hidden="1">#REF!</definedName>
    <definedName name="SIG_VENFDV_TITLELINE" hidden="1">#REF!</definedName>
    <definedName name="SIG_VENFDVRB_firstLine" localSheetId="15" hidden="1">#REF!</definedName>
    <definedName name="SIG_VENFDVRB_firstLine" hidden="1">#REF!</definedName>
    <definedName name="SIG_VENFDVRB_IsControlOK" localSheetId="15" hidden="1">#REF!</definedName>
    <definedName name="SIG_VENFDVRB_IsControlOK" hidden="1">#REF!</definedName>
    <definedName name="SIG_VENFDVRB_lastLine" localSheetId="15" hidden="1">#REF!</definedName>
    <definedName name="SIG_VENFDVRB_lastLine" hidden="1">#REF!</definedName>
    <definedName name="SIG_VENFDVRB_TITLELINE" localSheetId="15" hidden="1">#REF!</definedName>
    <definedName name="SIG_VENFDVRB_TITLELINE" hidden="1">#REF!</definedName>
    <definedName name="SIG_VENRDDM_firstLine" localSheetId="15" hidden="1">#REF!</definedName>
    <definedName name="SIG_VENRDDM_firstLine" hidden="1">#REF!</definedName>
    <definedName name="SIG_VENRDDM_IsControlOK" localSheetId="15" hidden="1">#REF!</definedName>
    <definedName name="SIG_VENRDDM_IsControlOK" hidden="1">#REF!</definedName>
    <definedName name="SIG_VENRDDM_lastLine" localSheetId="15" hidden="1">#REF!</definedName>
    <definedName name="SIG_VENRDDM_lastLine" hidden="1">#REF!</definedName>
    <definedName name="SIG_VENRDDM_TITLELINE" localSheetId="15" hidden="1">#REF!</definedName>
    <definedName name="SIG_VENRDDM_TITLELINE" hidden="1">#REF!</definedName>
    <definedName name="SIG_ZAR6705_H003" localSheetId="15" hidden="1">#REF!</definedName>
    <definedName name="SIG_ZAR6705_H003" hidden="1">#REF!</definedName>
    <definedName name="SIG_ZAR6705_H004" localSheetId="15" hidden="1">#REF!</definedName>
    <definedName name="SIG_ZAR6705_H004" hidden="1">#REF!</definedName>
    <definedName name="SIG_ZAR6705_H005" localSheetId="15" hidden="1">#REF!</definedName>
    <definedName name="SIG_ZAR6705_H005" hidden="1">#REF!</definedName>
    <definedName name="SIG_ZAR6705_H006" localSheetId="15" hidden="1">#REF!</definedName>
    <definedName name="SIG_ZAR6705_H006" hidden="1">#REF!</definedName>
    <definedName name="SIG_ZAR6705_H007" localSheetId="15" hidden="1">#REF!</definedName>
    <definedName name="SIG_ZAR6705_H007" hidden="1">#REF!</definedName>
    <definedName name="SIG_ZAR6705_H008" localSheetId="15" hidden="1">#REF!</definedName>
    <definedName name="SIG_ZAR6705_H008" hidden="1">#REF!</definedName>
    <definedName name="SIG_ZAR6705_H009" localSheetId="15" hidden="1">#REF!</definedName>
    <definedName name="SIG_ZAR6705_H009" hidden="1">#REF!</definedName>
    <definedName name="SIG_ZAR6705_H010" localSheetId="15" hidden="1">#REF!</definedName>
    <definedName name="SIG_ZAR6705_H010" hidden="1">#REF!</definedName>
    <definedName name="SIG_ZAR6705_H011" localSheetId="15" hidden="1">#REF!</definedName>
    <definedName name="SIG_ZAR6705_H011" hidden="1">#REF!</definedName>
    <definedName name="SIG_ZCAPEXAC_firstLine" localSheetId="15" hidden="1">#REF!</definedName>
    <definedName name="SIG_ZCAPEXAC_firstLine" hidden="1">#REF!</definedName>
    <definedName name="SIG_ZCAPEXAC_H096" localSheetId="15" hidden="1">#REF!</definedName>
    <definedName name="SIG_ZCAPEXAC_H096" hidden="1">#REF!</definedName>
    <definedName name="SIG_ZCAPEXAC_H097" localSheetId="15" hidden="1">#REF!</definedName>
    <definedName name="SIG_ZCAPEXAC_H097" hidden="1">#REF!</definedName>
    <definedName name="SIG_ZCAPEXAC_H098" localSheetId="15" hidden="1">#REF!</definedName>
    <definedName name="SIG_ZCAPEXAC_H098" hidden="1">#REF!</definedName>
    <definedName name="SIG_ZCAPEXAC_H099" localSheetId="15" hidden="1">#REF!</definedName>
    <definedName name="SIG_ZCAPEXAC_H099" hidden="1">#REF!</definedName>
    <definedName name="SIG_ZCAPEXAC_H100" localSheetId="15" hidden="1">#REF!</definedName>
    <definedName name="SIG_ZCAPEXAC_H100" hidden="1">#REF!</definedName>
    <definedName name="SIG_ZCAPEXAC_H101" localSheetId="15" hidden="1">#REF!</definedName>
    <definedName name="SIG_ZCAPEXAC_H101" hidden="1">#REF!</definedName>
    <definedName name="SIG_ZCAPEXAC_H102" localSheetId="15" hidden="1">#REF!</definedName>
    <definedName name="SIG_ZCAPEXAC_H102" hidden="1">#REF!</definedName>
    <definedName name="SIG_ZCAPEXAC_H103" localSheetId="15" hidden="1">#REF!</definedName>
    <definedName name="SIG_ZCAPEXAC_H103" hidden="1">#REF!</definedName>
    <definedName name="SIG_ZCAPEXAC_H104" localSheetId="15" hidden="1">#REF!</definedName>
    <definedName name="SIG_ZCAPEXAC_H104" hidden="1">#REF!</definedName>
    <definedName name="SIG_ZCAPEXAC_H105" localSheetId="15" hidden="1">#REF!</definedName>
    <definedName name="SIG_ZCAPEXAC_H105" hidden="1">#REF!</definedName>
    <definedName name="SIG_ZCAPEXAC_H106" localSheetId="15" hidden="1">#REF!</definedName>
    <definedName name="SIG_ZCAPEXAC_H106" hidden="1">#REF!</definedName>
    <definedName name="SIG_ZCAPEXAC_H107" localSheetId="15" hidden="1">#REF!</definedName>
    <definedName name="SIG_ZCAPEXAC_H107" hidden="1">#REF!</definedName>
    <definedName name="SIG_ZCAPEXAC_H108" localSheetId="15" hidden="1">#REF!</definedName>
    <definedName name="SIG_ZCAPEXAC_H108" hidden="1">#REF!</definedName>
    <definedName name="SIG_ZCAPEXAC_H109" localSheetId="15" hidden="1">#REF!</definedName>
    <definedName name="SIG_ZCAPEXAC_H109" hidden="1">#REF!</definedName>
    <definedName name="SIG_ZCAPEXAC_H110" localSheetId="15" hidden="1">#REF!</definedName>
    <definedName name="SIG_ZCAPEXAC_H110" hidden="1">#REF!</definedName>
    <definedName name="SIG_ZCAPEXAC_IsControlOK" localSheetId="15" hidden="1">#REF!</definedName>
    <definedName name="SIG_ZCAPEXAC_IsControlOK" hidden="1">#REF!</definedName>
    <definedName name="SIG_ZCAPEXAC_lastLine" localSheetId="15" hidden="1">#REF!</definedName>
    <definedName name="SIG_ZCAPEXAC_lastLine" hidden="1">#REF!</definedName>
    <definedName name="SIG_ZCAPEXAC_TITLECOL" localSheetId="15" hidden="1">#REF!</definedName>
    <definedName name="SIG_ZCAPEXAC_TITLECOL" hidden="1">#REF!</definedName>
    <definedName name="SIG_ZCAPEXAC_TITLELINE" localSheetId="15" hidden="1">#REF!</definedName>
    <definedName name="SIG_ZCAPEXAC_TITLELINE" hidden="1">#REF!</definedName>
    <definedName name="SIG_ZCAPEXR_firstLine" localSheetId="15" hidden="1">#REF!</definedName>
    <definedName name="SIG_ZCAPEXR_firstLine" hidden="1">#REF!</definedName>
    <definedName name="SIG_ZCAPEXR_H039" localSheetId="15" hidden="1">#REF!</definedName>
    <definedName name="SIG_ZCAPEXR_H039" hidden="1">#REF!</definedName>
    <definedName name="SIG_ZCAPEXR_H040" localSheetId="15" hidden="1">#REF!</definedName>
    <definedName name="SIG_ZCAPEXR_H040" hidden="1">#REF!</definedName>
    <definedName name="SIG_ZCAPEXR_H041" localSheetId="15" hidden="1">#REF!</definedName>
    <definedName name="SIG_ZCAPEXR_H041" hidden="1">#REF!</definedName>
    <definedName name="SIG_ZCAPEXR_H042" localSheetId="15" hidden="1">#REF!</definedName>
    <definedName name="SIG_ZCAPEXR_H042" hidden="1">#REF!</definedName>
    <definedName name="SIG_ZCAPEXR_H043" localSheetId="15" hidden="1">#REF!</definedName>
    <definedName name="SIG_ZCAPEXR_H043" hidden="1">#REF!</definedName>
    <definedName name="SIG_ZCAPEXR_H044" localSheetId="15" hidden="1">#REF!</definedName>
    <definedName name="SIG_ZCAPEXR_H044" hidden="1">#REF!</definedName>
    <definedName name="SIG_ZCAPEXR_H045" localSheetId="15" hidden="1">#REF!</definedName>
    <definedName name="SIG_ZCAPEXR_H045" hidden="1">#REF!</definedName>
    <definedName name="SIG_ZCAPEXR_H046" localSheetId="15" hidden="1">#REF!</definedName>
    <definedName name="SIG_ZCAPEXR_H046" hidden="1">#REF!</definedName>
    <definedName name="SIG_ZCAPEXR_H047" localSheetId="15" hidden="1">#REF!</definedName>
    <definedName name="SIG_ZCAPEXR_H047" hidden="1">#REF!</definedName>
    <definedName name="SIG_ZCAPEXR_H048" localSheetId="15" hidden="1">#REF!</definedName>
    <definedName name="SIG_ZCAPEXR_H048" hidden="1">#REF!</definedName>
    <definedName name="SIG_ZCAPEXR_H049" localSheetId="15" hidden="1">#REF!</definedName>
    <definedName name="SIG_ZCAPEXR_H049" hidden="1">#REF!</definedName>
    <definedName name="SIG_ZCAPEXR_H050" localSheetId="15" hidden="1">#REF!</definedName>
    <definedName name="SIG_ZCAPEXR_H050" hidden="1">#REF!</definedName>
    <definedName name="SIG_ZCAPEXR_H051" localSheetId="15" hidden="1">#REF!</definedName>
    <definedName name="SIG_ZCAPEXR_H051" hidden="1">#REF!</definedName>
    <definedName name="SIG_ZCAPEXR_H052" localSheetId="15" hidden="1">#REF!</definedName>
    <definedName name="SIG_ZCAPEXR_H052" hidden="1">#REF!</definedName>
    <definedName name="SIG_ZCAPEXR_H053" localSheetId="15" hidden="1">#REF!</definedName>
    <definedName name="SIG_ZCAPEXR_H053" hidden="1">#REF!</definedName>
    <definedName name="SIG_ZCAPEXR_IsControlOK" localSheetId="15" hidden="1">#REF!</definedName>
    <definedName name="SIG_ZCAPEXR_IsControlOK" hidden="1">#REF!</definedName>
    <definedName name="SIG_ZCAPEXR_lastLine" localSheetId="15" hidden="1">#REF!</definedName>
    <definedName name="SIG_ZCAPEXR_lastLine" hidden="1">#REF!</definedName>
    <definedName name="SIG_ZCAPEXR_TITLECOL" localSheetId="15" hidden="1">#REF!</definedName>
    <definedName name="SIG_ZCAPEXR_TITLECOL" hidden="1">#REF!</definedName>
    <definedName name="SIG_ZCAPEXR_TITLELINE" localSheetId="15" hidden="1">#REF!</definedName>
    <definedName name="SIG_ZCAPEXR_TITLELINE" hidden="1">#REF!</definedName>
    <definedName name="SIG_ZCAPEXY_firstLine" localSheetId="15" hidden="1">#REF!</definedName>
    <definedName name="SIG_ZCAPEXY_firstLine" hidden="1">#REF!</definedName>
    <definedName name="SIG_ZCAPEXY_H039" localSheetId="15" hidden="1">#REF!</definedName>
    <definedName name="SIG_ZCAPEXY_H039" hidden="1">#REF!</definedName>
    <definedName name="SIG_ZCAPEXY_H040" localSheetId="15" hidden="1">#REF!</definedName>
    <definedName name="SIG_ZCAPEXY_H040" hidden="1">#REF!</definedName>
    <definedName name="SIG_ZCAPEXY_H041" localSheetId="15" hidden="1">#REF!</definedName>
    <definedName name="SIG_ZCAPEXY_H041" hidden="1">#REF!</definedName>
    <definedName name="SIG_ZCAPEXY_H042" localSheetId="15" hidden="1">#REF!</definedName>
    <definedName name="SIG_ZCAPEXY_H042" hidden="1">#REF!</definedName>
    <definedName name="SIG_ZCAPEXY_H043" localSheetId="15" hidden="1">#REF!</definedName>
    <definedName name="SIG_ZCAPEXY_H043" hidden="1">#REF!</definedName>
    <definedName name="SIG_ZCAPEXY_H044" localSheetId="15" hidden="1">#REF!</definedName>
    <definedName name="SIG_ZCAPEXY_H044" hidden="1">#REF!</definedName>
    <definedName name="SIG_ZCAPEXY_H045" localSheetId="15" hidden="1">#REF!</definedName>
    <definedName name="SIG_ZCAPEXY_H045" hidden="1">#REF!</definedName>
    <definedName name="SIG_ZCAPEXY_H046" localSheetId="15" hidden="1">#REF!</definedName>
    <definedName name="SIG_ZCAPEXY_H046" hidden="1">#REF!</definedName>
    <definedName name="SIG_ZCAPEXY_H047" localSheetId="15" hidden="1">#REF!</definedName>
    <definedName name="SIG_ZCAPEXY_H047" hidden="1">#REF!</definedName>
    <definedName name="SIG_ZCAPEXY_H048" localSheetId="15" hidden="1">#REF!</definedName>
    <definedName name="SIG_ZCAPEXY_H048" hidden="1">#REF!</definedName>
    <definedName name="SIG_ZCAPEXY_H049" localSheetId="15" hidden="1">#REF!</definedName>
    <definedName name="SIG_ZCAPEXY_H049" hidden="1">#REF!</definedName>
    <definedName name="SIG_ZCAPEXY_H050" localSheetId="15" hidden="1">#REF!</definedName>
    <definedName name="SIG_ZCAPEXY_H050" hidden="1">#REF!</definedName>
    <definedName name="SIG_ZCAPEXY_H051" localSheetId="15" hidden="1">#REF!</definedName>
    <definedName name="SIG_ZCAPEXY_H051" hidden="1">#REF!</definedName>
    <definedName name="SIG_ZCAPEXY_H052" localSheetId="15" hidden="1">#REF!</definedName>
    <definedName name="SIG_ZCAPEXY_H052" hidden="1">#REF!</definedName>
    <definedName name="SIG_ZCAPEXY_H053" localSheetId="15" hidden="1">#REF!</definedName>
    <definedName name="SIG_ZCAPEXY_H053" hidden="1">#REF!</definedName>
    <definedName name="SIG_ZCAPEXY_IsControlOK" localSheetId="15" hidden="1">#REF!</definedName>
    <definedName name="SIG_ZCAPEXY_IsControlOK" hidden="1">#REF!</definedName>
    <definedName name="SIG_ZCAPEXY_lastLine" localSheetId="15" hidden="1">#REF!</definedName>
    <definedName name="SIG_ZCAPEXY_lastLine" hidden="1">#REF!</definedName>
    <definedName name="SIG_ZCAPEXY_TITLECOL" localSheetId="15" hidden="1">#REF!</definedName>
    <definedName name="SIG_ZCAPEXY_TITLECOL" hidden="1">#REF!</definedName>
    <definedName name="SIG_ZCAPEXY_TITLELINE" localSheetId="15" hidden="1">#REF!</definedName>
    <definedName name="SIG_ZCAPEXY_TITLELINE" hidden="1">#REF!</definedName>
    <definedName name="SIG_ZDGCMAY_firstLine" localSheetId="17" hidden="1">[15]ZDGCMAY!$CY$128</definedName>
    <definedName name="SIG_ZDGCMAY_firstLine" localSheetId="15" hidden="1">#REF!</definedName>
    <definedName name="SIG_ZDGCMAY_firstLine" hidden="1">#REF!</definedName>
    <definedName name="SIG_ZDGCMAY_H010" localSheetId="15" hidden="1">#REF!</definedName>
    <definedName name="SIG_ZDGCMAY_H010" hidden="1">#REF!</definedName>
    <definedName name="SIG_ZDGCMAY_H011" localSheetId="15" hidden="1">#REF!</definedName>
    <definedName name="SIG_ZDGCMAY_H011" hidden="1">#REF!</definedName>
    <definedName name="SIG_ZDGCMAY_H012" localSheetId="15" hidden="1">#REF!</definedName>
    <definedName name="SIG_ZDGCMAY_H012" hidden="1">#REF!</definedName>
    <definedName name="SIG_ZDGCMAY_H013" localSheetId="15" hidden="1">#REF!</definedName>
    <definedName name="SIG_ZDGCMAY_H013" hidden="1">#REF!</definedName>
    <definedName name="SIG_ZDGCMAY_H014" localSheetId="15" hidden="1">#REF!</definedName>
    <definedName name="SIG_ZDGCMAY_H014" hidden="1">#REF!</definedName>
    <definedName name="SIG_ZDGCMAY_H015" localSheetId="15" hidden="1">#REF!</definedName>
    <definedName name="SIG_ZDGCMAY_H015" hidden="1">#REF!</definedName>
    <definedName name="SIG_ZDGCMAY_IsControlOK" localSheetId="17" hidden="1">[15]ZDGCMAY!$CY$127</definedName>
    <definedName name="SIG_ZDGCMAY_IsControlOK" localSheetId="15" hidden="1">#REF!</definedName>
    <definedName name="SIG_ZDGCMAY_IsControlOK" hidden="1">#REF!</definedName>
    <definedName name="SIG_ZDGCMAY_lastLine" localSheetId="17" hidden="1">[15]ZDGCMAY!$CY$129</definedName>
    <definedName name="SIG_ZDGCMAY_lastLine" localSheetId="15" hidden="1">#REF!</definedName>
    <definedName name="SIG_ZDGCMAY_lastLine" hidden="1">#REF!</definedName>
    <definedName name="SIG_ZDGCMAY_TITLELINE" localSheetId="17" hidden="1">[15]ZDGCMAY!$A$15:$IV$15</definedName>
    <definedName name="SIG_ZDGCMAY_TITLELINE" localSheetId="15" hidden="1">#REF!</definedName>
    <definedName name="SIG_ZDGCMAY_TITLELINE" hidden="1">#REF!</definedName>
    <definedName name="SIG_ZDINVCY_firstLine" localSheetId="15" hidden="1">#REF!</definedName>
    <definedName name="SIG_ZDINVCY_firstLine" hidden="1">#REF!</definedName>
    <definedName name="SIG_ZDINVCY_H001" localSheetId="15" hidden="1">#REF!</definedName>
    <definedName name="SIG_ZDINVCY_H001" hidden="1">#REF!</definedName>
    <definedName name="SIG_ZDINVCY_H002" localSheetId="15" hidden="1">#REF!</definedName>
    <definedName name="SIG_ZDINVCY_H002" hidden="1">#REF!</definedName>
    <definedName name="SIG_ZDINVCY_H003" localSheetId="15" hidden="1">#REF!</definedName>
    <definedName name="SIG_ZDINVCY_H003" hidden="1">#REF!</definedName>
    <definedName name="SIG_ZDINVCY_H004" localSheetId="15" hidden="1">#REF!</definedName>
    <definedName name="SIG_ZDINVCY_H004" hidden="1">#REF!</definedName>
    <definedName name="SIG_ZDINVCY_H005" localSheetId="15" hidden="1">#REF!</definedName>
    <definedName name="SIG_ZDINVCY_H005" hidden="1">#REF!</definedName>
    <definedName name="SIG_ZDINVCY_H006" localSheetId="15" hidden="1">#REF!</definedName>
    <definedName name="SIG_ZDINVCY_H006" hidden="1">#REF!</definedName>
    <definedName name="SIG_ZDINVCY_H007" localSheetId="15" hidden="1">#REF!</definedName>
    <definedName name="SIG_ZDINVCY_H007" hidden="1">#REF!</definedName>
    <definedName name="SIG_ZDINVCY_H008" localSheetId="15" hidden="1">#REF!</definedName>
    <definedName name="SIG_ZDINVCY_H008" hidden="1">#REF!</definedName>
    <definedName name="SIG_ZDINVCY_H009" localSheetId="15" hidden="1">#REF!</definedName>
    <definedName name="SIG_ZDINVCY_H009" hidden="1">#REF!</definedName>
    <definedName name="SIG_ZDINVCY_H010" localSheetId="15" hidden="1">#REF!</definedName>
    <definedName name="SIG_ZDINVCY_H010" hidden="1">#REF!</definedName>
    <definedName name="SIG_ZDINVCY_IsControlOK" localSheetId="15" hidden="1">#REF!</definedName>
    <definedName name="SIG_ZDINVCY_IsControlOK" hidden="1">#REF!</definedName>
    <definedName name="SIG_ZDINVCY_lastLine" localSheetId="15" hidden="1">#REF!</definedName>
    <definedName name="SIG_ZDINVCY_lastLine" hidden="1">#REF!</definedName>
    <definedName name="SIG_ZDINVCY_TITLELINE" localSheetId="15" hidden="1">#REF!</definedName>
    <definedName name="SIG_ZDINVCY_TITLELINE" hidden="1">#REF!</definedName>
    <definedName name="SIG_ZDMKTBU_firstLine" localSheetId="15" hidden="1">#REF!</definedName>
    <definedName name="SIG_ZDMKTBU_firstLine" hidden="1">#REF!</definedName>
    <definedName name="SIG_ZDMKTBU_H001" localSheetId="15" hidden="1">#REF!</definedName>
    <definedName name="SIG_ZDMKTBU_H001" hidden="1">#REF!</definedName>
    <definedName name="SIG_ZDMKTBU_H002" localSheetId="15" hidden="1">#REF!</definedName>
    <definedName name="SIG_ZDMKTBU_H002" hidden="1">#REF!</definedName>
    <definedName name="SIG_ZDMKTBU_H003" localSheetId="15" hidden="1">#REF!</definedName>
    <definedName name="SIG_ZDMKTBU_H003" hidden="1">#REF!</definedName>
    <definedName name="SIG_ZDMKTBU_H004" localSheetId="15" hidden="1">#REF!</definedName>
    <definedName name="SIG_ZDMKTBU_H004" hidden="1">#REF!</definedName>
    <definedName name="SIG_ZDMKTBU_H005" localSheetId="15" hidden="1">#REF!</definedName>
    <definedName name="SIG_ZDMKTBU_H005" hidden="1">#REF!</definedName>
    <definedName name="SIG_ZDMKTBU_H006" localSheetId="15" hidden="1">#REF!</definedName>
    <definedName name="SIG_ZDMKTBU_H006" hidden="1">#REF!</definedName>
    <definedName name="SIG_ZDMKTBU_H007" localSheetId="15" hidden="1">#REF!</definedName>
    <definedName name="SIG_ZDMKTBU_H007" hidden="1">#REF!</definedName>
    <definedName name="SIG_ZDMKTBU_H008" localSheetId="15" hidden="1">#REF!</definedName>
    <definedName name="SIG_ZDMKTBU_H008" hidden="1">#REF!</definedName>
    <definedName name="SIG_ZDMKTBU_H009" localSheetId="15" hidden="1">#REF!</definedName>
    <definedName name="SIG_ZDMKTBU_H009" hidden="1">#REF!</definedName>
    <definedName name="SIG_ZDMKTBU_H010" localSheetId="15" hidden="1">#REF!</definedName>
    <definedName name="SIG_ZDMKTBU_H010" hidden="1">#REF!</definedName>
    <definedName name="SIG_ZDMKTBU_IsControlOK" localSheetId="15" hidden="1">#REF!</definedName>
    <definedName name="SIG_ZDMKTBU_IsControlOK" hidden="1">#REF!</definedName>
    <definedName name="SIG_ZDMKTBU_lastLine" localSheetId="15" hidden="1">#REF!</definedName>
    <definedName name="SIG_ZDMKTBU_lastLine" hidden="1">#REF!</definedName>
    <definedName name="SIG_ZDMKTBU_TITLELINE" localSheetId="15" hidden="1">#REF!</definedName>
    <definedName name="SIG_ZDMKTBU_TITLELINE" hidden="1">#REF!</definedName>
    <definedName name="SIG_ZEFFFCT2_firstLine" localSheetId="15" hidden="1">#REF!</definedName>
    <definedName name="SIG_ZEFFFCT2_firstLine" hidden="1">#REF!</definedName>
    <definedName name="SIG_ZEFFFCT2_H122" localSheetId="15" hidden="1">#REF!</definedName>
    <definedName name="SIG_ZEFFFCT2_H122" hidden="1">#REF!</definedName>
    <definedName name="SIG_ZEFFFCT2_H123" localSheetId="15" hidden="1">#REF!</definedName>
    <definedName name="SIG_ZEFFFCT2_H123" hidden="1">#REF!</definedName>
    <definedName name="SIG_ZEFFFCT2_H124" localSheetId="15" hidden="1">#REF!</definedName>
    <definedName name="SIG_ZEFFFCT2_H124" hidden="1">#REF!</definedName>
    <definedName name="SIG_ZEFFFCT2_H125" localSheetId="15" hidden="1">#REF!</definedName>
    <definedName name="SIG_ZEFFFCT2_H125" hidden="1">#REF!</definedName>
    <definedName name="SIG_ZEFFFCT2_H126" localSheetId="15" hidden="1">#REF!</definedName>
    <definedName name="SIG_ZEFFFCT2_H126" hidden="1">#REF!</definedName>
    <definedName name="SIG_ZEFFFCT2_H127" localSheetId="15" hidden="1">#REF!</definedName>
    <definedName name="SIG_ZEFFFCT2_H127" hidden="1">#REF!</definedName>
    <definedName name="SIG_ZEFFFCT2_H128" localSheetId="15" hidden="1">#REF!</definedName>
    <definedName name="SIG_ZEFFFCT2_H128" hidden="1">#REF!</definedName>
    <definedName name="SIG_ZEFFFCT2_H129" localSheetId="15" hidden="1">#REF!</definedName>
    <definedName name="SIG_ZEFFFCT2_H129" hidden="1">#REF!</definedName>
    <definedName name="SIG_ZEFFFCT2_H130" localSheetId="15" hidden="1">#REF!</definedName>
    <definedName name="SIG_ZEFFFCT2_H130" hidden="1">#REF!</definedName>
    <definedName name="SIG_ZEFFFCT2_H131" localSheetId="15" hidden="1">#REF!</definedName>
    <definedName name="SIG_ZEFFFCT2_H131" hidden="1">#REF!</definedName>
    <definedName name="SIG_ZEFFFCT2_H132" localSheetId="15" hidden="1">#REF!</definedName>
    <definedName name="SIG_ZEFFFCT2_H132" hidden="1">#REF!</definedName>
    <definedName name="SIG_ZEFFFCT2_H133" localSheetId="15" hidden="1">#REF!</definedName>
    <definedName name="SIG_ZEFFFCT2_H133" hidden="1">#REF!</definedName>
    <definedName name="SIG_ZEFFFCT2_H134" localSheetId="15" hidden="1">#REF!</definedName>
    <definedName name="SIG_ZEFFFCT2_H134" hidden="1">#REF!</definedName>
    <definedName name="SIG_ZEFFFCT2_H135" localSheetId="15" hidden="1">#REF!</definedName>
    <definedName name="SIG_ZEFFFCT2_H135" hidden="1">#REF!</definedName>
    <definedName name="SIG_ZEFFFCT2_H136" localSheetId="15" hidden="1">#REF!</definedName>
    <definedName name="SIG_ZEFFFCT2_H136" hidden="1">#REF!</definedName>
    <definedName name="SIG_ZEFFFCT2_IsControlOK" localSheetId="15" hidden="1">#REF!</definedName>
    <definedName name="SIG_ZEFFFCT2_IsControlOK" hidden="1">#REF!</definedName>
    <definedName name="SIG_ZEFFFCT2_lastLine" localSheetId="15" hidden="1">#REF!</definedName>
    <definedName name="SIG_ZEFFFCT2_lastLine" hidden="1">#REF!</definedName>
    <definedName name="SIG_ZEFFFCT2_TITLECOL" localSheetId="15" hidden="1">#REF!</definedName>
    <definedName name="SIG_ZEFFFCT2_TITLECOL" hidden="1">#REF!</definedName>
    <definedName name="SIG_ZEFFFCT2_TITLELINE" localSheetId="15" hidden="1">#REF!</definedName>
    <definedName name="SIG_ZEFFFCT2_TITLELINE" hidden="1">#REF!</definedName>
    <definedName name="SIG_ZPLACTU_firstLine" localSheetId="15" hidden="1">#REF!</definedName>
    <definedName name="SIG_ZPLACTU_firstLine" hidden="1">#REF!</definedName>
    <definedName name="SIG_ZPLACTU_H786" localSheetId="15" hidden="1">#REF!</definedName>
    <definedName name="SIG_ZPLACTU_H786" hidden="1">#REF!</definedName>
    <definedName name="SIG_ZPLACTU_H787" localSheetId="15" hidden="1">#REF!</definedName>
    <definedName name="SIG_ZPLACTU_H787" hidden="1">#REF!</definedName>
    <definedName name="SIG_ZPLACTU_H788" localSheetId="15" hidden="1">#REF!</definedName>
    <definedName name="SIG_ZPLACTU_H788" hidden="1">#REF!</definedName>
    <definedName name="SIG_ZPLACTU_H789" localSheetId="15" hidden="1">#REF!</definedName>
    <definedName name="SIG_ZPLACTU_H789" hidden="1">#REF!</definedName>
    <definedName name="SIG_ZPLACTU_H790" localSheetId="15" hidden="1">#REF!</definedName>
    <definedName name="SIG_ZPLACTU_H790" hidden="1">#REF!</definedName>
    <definedName name="SIG_ZPLACTU_H791" localSheetId="15" hidden="1">#REF!</definedName>
    <definedName name="SIG_ZPLACTU_H791" hidden="1">#REF!</definedName>
    <definedName name="SIG_ZPLACTU_H792" localSheetId="15" hidden="1">#REF!</definedName>
    <definedName name="SIG_ZPLACTU_H792" hidden="1">#REF!</definedName>
    <definedName name="SIG_ZPLACTU_H793" localSheetId="15" hidden="1">#REF!</definedName>
    <definedName name="SIG_ZPLACTU_H793" hidden="1">#REF!</definedName>
    <definedName name="SIG_ZPLACTU_H794" localSheetId="15" hidden="1">#REF!</definedName>
    <definedName name="SIG_ZPLACTU_H794" hidden="1">#REF!</definedName>
    <definedName name="SIG_ZPLACTU_H795" localSheetId="15" hidden="1">#REF!</definedName>
    <definedName name="SIG_ZPLACTU_H795" hidden="1">#REF!</definedName>
    <definedName name="SIG_ZPLACTU_IsControlOK" localSheetId="15" hidden="1">#REF!</definedName>
    <definedName name="SIG_ZPLACTU_IsControlOK" hidden="1">#REF!</definedName>
    <definedName name="SIG_ZPLACTU_lastLine" localSheetId="15" hidden="1">#REF!</definedName>
    <definedName name="SIG_ZPLACTU_lastLine" hidden="1">#REF!</definedName>
    <definedName name="SIG_ZPLACTU_TITLECOL" localSheetId="15" hidden="1">#REF!</definedName>
    <definedName name="SIG_ZPLACTU_TITLECOL" hidden="1">#REF!</definedName>
    <definedName name="SIG_ZPLACTU_TITLELINE" localSheetId="15" hidden="1">#REF!</definedName>
    <definedName name="SIG_ZPLACTU_TITLELINE" hidden="1">#REF!</definedName>
    <definedName name="SIG_ZPLBUD_firstLine" localSheetId="15" hidden="1">#REF!</definedName>
    <definedName name="SIG_ZPLBUD_firstLine" hidden="1">#REF!</definedName>
    <definedName name="SIG_ZPLBUD_H578" localSheetId="15" hidden="1">#REF!</definedName>
    <definedName name="SIG_ZPLBUD_H578" hidden="1">#REF!</definedName>
    <definedName name="SIG_ZPLBUD_H579" localSheetId="15" hidden="1">#REF!</definedName>
    <definedName name="SIG_ZPLBUD_H579" hidden="1">#REF!</definedName>
    <definedName name="SIG_ZPLBUD_H580" localSheetId="15" hidden="1">#REF!</definedName>
    <definedName name="SIG_ZPLBUD_H580" hidden="1">#REF!</definedName>
    <definedName name="SIG_ZPLBUD_H581" localSheetId="15" hidden="1">#REF!</definedName>
    <definedName name="SIG_ZPLBUD_H581" hidden="1">#REF!</definedName>
    <definedName name="SIG_ZPLBUD_H582" localSheetId="15" hidden="1">#REF!</definedName>
    <definedName name="SIG_ZPLBUD_H582" hidden="1">#REF!</definedName>
    <definedName name="SIG_ZPLBUD_H583" localSheetId="15" hidden="1">#REF!</definedName>
    <definedName name="SIG_ZPLBUD_H583" hidden="1">#REF!</definedName>
    <definedName name="SIG_ZPLBUD_H584" localSheetId="15" hidden="1">#REF!</definedName>
    <definedName name="SIG_ZPLBUD_H584" hidden="1">#REF!</definedName>
    <definedName name="SIG_ZPLBUD_H585" localSheetId="15" hidden="1">#REF!</definedName>
    <definedName name="SIG_ZPLBUD_H585" hidden="1">#REF!</definedName>
    <definedName name="SIG_ZPLBUD_H586" localSheetId="15" hidden="1">#REF!</definedName>
    <definedName name="SIG_ZPLBUD_H586" hidden="1">#REF!</definedName>
    <definedName name="SIG_ZPLBUD_H587" localSheetId="15" hidden="1">#REF!</definedName>
    <definedName name="SIG_ZPLBUD_H587" hidden="1">#REF!</definedName>
    <definedName name="SIG_ZPLBUD_IsControlOK" localSheetId="15" hidden="1">#REF!</definedName>
    <definedName name="SIG_ZPLBUD_IsControlOK" hidden="1">#REF!</definedName>
    <definedName name="SIG_ZPLBUD_lastLine" localSheetId="15" hidden="1">#REF!</definedName>
    <definedName name="SIG_ZPLBUD_lastLine" hidden="1">#REF!</definedName>
    <definedName name="SIG_ZPLBUD_TITLECOL" localSheetId="15" hidden="1">#REF!</definedName>
    <definedName name="SIG_ZPLBUD_TITLECOL" hidden="1">#REF!</definedName>
    <definedName name="SIG_ZPLBUD_TITLELINE" localSheetId="15" hidden="1">#REF!</definedName>
    <definedName name="SIG_ZPLBUD_TITLELINE" hidden="1">#REF!</definedName>
    <definedName name="SIG_ZRREDV_firstLine" localSheetId="15" hidden="1">#REF!</definedName>
    <definedName name="SIG_ZRREDV_firstLine" hidden="1">#REF!</definedName>
    <definedName name="SIG_ZRREDV_H001" localSheetId="15" hidden="1">#REF!</definedName>
    <definedName name="SIG_ZRREDV_H001" hidden="1">#REF!</definedName>
    <definedName name="SIG_ZRREDV_H002" localSheetId="15" hidden="1">#REF!</definedName>
    <definedName name="SIG_ZRREDV_H002" hidden="1">#REF!</definedName>
    <definedName name="SIG_ZRREDV_H003" localSheetId="15" hidden="1">#REF!</definedName>
    <definedName name="SIG_ZRREDV_H003" hidden="1">#REF!</definedName>
    <definedName name="SIG_ZRREDV_H004" localSheetId="15" hidden="1">#REF!</definedName>
    <definedName name="SIG_ZRREDV_H004" hidden="1">#REF!</definedName>
    <definedName name="SIG_ZRREDV_H005" localSheetId="15" hidden="1">#REF!</definedName>
    <definedName name="SIG_ZRREDV_H005" hidden="1">#REF!</definedName>
    <definedName name="SIG_ZRREDV_H006" localSheetId="15" hidden="1">#REF!</definedName>
    <definedName name="SIG_ZRREDV_H006" hidden="1">#REF!</definedName>
    <definedName name="SIG_ZRREDV_H007" localSheetId="15" hidden="1">#REF!</definedName>
    <definedName name="SIG_ZRREDV_H007" hidden="1">#REF!</definedName>
    <definedName name="SIG_ZRREDV_H008" localSheetId="15" hidden="1">#REF!</definedName>
    <definedName name="SIG_ZRREDV_H008" hidden="1">#REF!</definedName>
    <definedName name="SIG_ZRREDV_H009" localSheetId="15" hidden="1">#REF!</definedName>
    <definedName name="SIG_ZRREDV_H009" hidden="1">#REF!</definedName>
    <definedName name="SIG_ZRREDV_H010" localSheetId="15" hidden="1">#REF!</definedName>
    <definedName name="SIG_ZRREDV_H010" hidden="1">#REF!</definedName>
    <definedName name="SIG_ZRREDV_H011" localSheetId="15" hidden="1">#REF!</definedName>
    <definedName name="SIG_ZRREDV_H011" hidden="1">#REF!</definedName>
    <definedName name="SIG_ZRREDV_H012" localSheetId="15" hidden="1">#REF!</definedName>
    <definedName name="SIG_ZRREDV_H012" hidden="1">#REF!</definedName>
    <definedName name="SIG_ZRREDV_H013" localSheetId="15" hidden="1">#REF!</definedName>
    <definedName name="SIG_ZRREDV_H013" hidden="1">#REF!</definedName>
    <definedName name="SIG_ZRREDV_H014" localSheetId="15" hidden="1">#REF!</definedName>
    <definedName name="SIG_ZRREDV_H014" hidden="1">#REF!</definedName>
    <definedName name="SIG_ZRREDV_H015" localSheetId="15" hidden="1">#REF!</definedName>
    <definedName name="SIG_ZRREDV_H015" hidden="1">#REF!</definedName>
    <definedName name="SIG_ZRREDV_IsControlOK" localSheetId="15" hidden="1">#REF!</definedName>
    <definedName name="SIG_ZRREDV_IsControlOK" hidden="1">#REF!</definedName>
    <definedName name="SIG_ZRREDV_lastLine" localSheetId="15" hidden="1">#REF!</definedName>
    <definedName name="SIG_ZRREDV_lastLine" hidden="1">#REF!</definedName>
    <definedName name="SIG_ZRREDV_TITLELINE" localSheetId="15" hidden="1">#REF!</definedName>
    <definedName name="SIG_ZRREDV_TITLELINE" hidden="1">#REF!</definedName>
    <definedName name="t" localSheetId="15" hidden="1">#REF!</definedName>
    <definedName name="t" hidden="1">#REF!</definedName>
    <definedName name="thu" hidden="1">#REF!</definedName>
    <definedName name="Tigr_Exhibit1fc5f4be_103e_4d7c_ba5f_01bb0c28568d" hidden="1">#REF!</definedName>
    <definedName name="Tigr_Exhibit2b20ee92_10c1_4726_9056_07c268d02158" hidden="1">#REF!</definedName>
    <definedName name="Tigr_Exhibita3565ddb_3aa8_4260_a96d_95602ffe9865" hidden="1">#REF!</definedName>
    <definedName name="Tigr_Exhibitd3148fad_ee77_45af_a948_e6d78090cd68" hidden="1">#REF!</definedName>
    <definedName name="uhtd_" localSheetId="17" hidden="1">[6]FDV_par_sociétés!#REF!</definedName>
    <definedName name="uhtd_" localSheetId="15" hidden="1">#REF!</definedName>
    <definedName name="uhtd_" hidden="1">#REF!</definedName>
    <definedName name="USD_DALY">#REF!</definedName>
    <definedName name="USD_FECOTOX">#REF!</definedName>
    <definedName name="USD_FETP">#REF!</definedName>
    <definedName name="USD_HTP">#REF!</definedName>
    <definedName name="USD_MECOTOX">#REF!</definedName>
    <definedName name="USD_METP">#REF!</definedName>
    <definedName name="uyf" localSheetId="15" hidden="1">#REF!</definedName>
    <definedName name="uyf" hidden="1">#REF!</definedName>
    <definedName name="Vlook1">#REF!</definedName>
    <definedName name="vytfd_yt" localSheetId="17" hidden="1">[4]FDV_par_sociétés!#REF!</definedName>
    <definedName name="vytfd_yt" localSheetId="15" hidden="1">#REF!</definedName>
    <definedName name="vytfd_yt" hidden="1">#REF!</definedName>
    <definedName name="withdrawal_sources">#REF!</definedName>
    <definedName name="wrn.BEL." localSheetId="17" hidden="1">{"IS",#N/A,FALSE,"IS";"RPTIS",#N/A,FALSE,"RPTIS";"STATS",#N/A,FALSE,"STATS";"CELL",#N/A,FALSE,"CELL";"BS",#N/A,FALSE,"BS"}</definedName>
    <definedName name="wrn.BEL." localSheetId="16" hidden="1">{"IS",#N/A,FALSE,"IS";"RPTIS",#N/A,FALSE,"RPTIS";"STATS",#N/A,FALSE,"STATS";"CELL",#N/A,FALSE,"CELL";"BS",#N/A,FALSE,"BS"}</definedName>
    <definedName name="wrn.BEL." localSheetId="18" hidden="1">{"IS",#N/A,FALSE,"IS";"RPTIS",#N/A,FALSE,"RPTIS";"STATS",#N/A,FALSE,"STATS";"CELL",#N/A,FALSE,"CELL";"BS",#N/A,FALSE,"BS"}</definedName>
    <definedName name="wrn.BEL." localSheetId="15" hidden="1">{"IS",#N/A,FALSE,"IS";"RPTIS",#N/A,FALSE,"RPTIS";"STATS",#N/A,FALSE,"STATS";"CELL",#N/A,FALSE,"CELL";"BS",#N/A,FALSE,"BS"}</definedName>
    <definedName name="wrn.BEL." localSheetId="13" hidden="1">{"IS",#N/A,FALSE,"IS";"RPTIS",#N/A,FALSE,"RPTIS";"STATS",#N/A,FALSE,"STATS";"CELL",#N/A,FALSE,"CELL";"BS",#N/A,FALSE,"BS"}</definedName>
    <definedName name="wrn.BEL." localSheetId="4" hidden="1">{"IS",#N/A,FALSE,"IS";"RPTIS",#N/A,FALSE,"RPTIS";"STATS",#N/A,FALSE,"STATS";"CELL",#N/A,FALSE,"CELL";"BS",#N/A,FALSE,"BS"}</definedName>
    <definedName name="wrn.BEL." localSheetId="6" hidden="1">{"IS",#N/A,FALSE,"IS";"RPTIS",#N/A,FALSE,"RPTIS";"STATS",#N/A,FALSE,"STATS";"CELL",#N/A,FALSE,"CELL";"BS",#N/A,FALSE,"BS"}</definedName>
    <definedName name="wrn.BEL." hidden="1">{"IS",#N/A,FALSE,"IS";"RPTIS",#N/A,FALSE,"RPTIS";"STATS",#N/A,FALSE,"STATS";"CELL",#N/A,FALSE,"CELL";"BS",#N/A,FALSE,"BS"}</definedName>
    <definedName name="wrn.chi._.tiÆt." localSheetId="17" hidden="1">{#N/A,#N/A,FALSE,"Chi tiÆt"}</definedName>
    <definedName name="wrn.chi._.tiÆt." localSheetId="16" hidden="1">{#N/A,#N/A,FALSE,"Chi tiÆt"}</definedName>
    <definedName name="wrn.chi._.tiÆt." localSheetId="18" hidden="1">{#N/A,#N/A,FALSE,"Chi tiÆt"}</definedName>
    <definedName name="wrn.chi._.tiÆt." localSheetId="15" hidden="1">{#N/A,#N/A,FALSE,"Chi tiÆt"}</definedName>
    <definedName name="wrn.chi._.tiÆt." localSheetId="13" hidden="1">{#N/A,#N/A,FALSE,"Chi tiÆt"}</definedName>
    <definedName name="wrn.chi._.tiÆt." localSheetId="4" hidden="1">{#N/A,#N/A,FALSE,"Chi tiÆt"}</definedName>
    <definedName name="wrn.chi._.tiÆt." localSheetId="6" hidden="1">{#N/A,#N/A,FALSE,"Chi tiÆt"}</definedName>
    <definedName name="wrn.chi._.tiÆt." hidden="1">{#N/A,#N/A,FALSE,"Chi tiÆt"}</definedName>
    <definedName name="wrn.Engine._.quasi._.dynamic._.comp.." localSheetId="17"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quasi._.dynamic._.comp.." localSheetId="16"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quasi._.dynamic._.comp.." localSheetId="18"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quasi._.dynamic._.comp.." localSheetId="15"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quasi._.dynamic._.comp.." localSheetId="13"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quasi._.dynamic._.comp.." localSheetId="4"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quasi._.dynamic._.comp.." localSheetId="6"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quasi._.dynamic._.comp.." hidden="1">{"quasi dynamic comp. forcings",#N/A,TRUE,"engine";"input file dynamic comp. b1_16_1",#N/A,TRUE,"engine";"input file dynamic comp. b17_32_1",#N/A,TRUE,"engine";"input file dynamic comp. b1_16_2",#N/A,TRUE,"engine";"input file dynamic comp. b17_32_2",#N/A,TRUE,"engine";"results dynamic simulation b1_16",#N/A,TRUE,"engine";"results dynamic simulation b17_32",#N/A,TRUE,"engine";"results dynamic sim. perc.SSC b1_16",#N/A,TRUE,"engine";"results dynamic sim. perc.SSC b17_32",#N/A,TRUE,"engine"}</definedName>
    <definedName name="wrn.Engine._.steady._.state._.comp.." localSheetId="17"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Engine._.steady._.state._.comp.." localSheetId="16"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Engine._.steady._.state._.comp.." localSheetId="18"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Engine._.steady._.state._.comp.." localSheetId="15"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Engine._.steady._.state._.comp.." localSheetId="13"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Engine._.steady._.state._.comp.." localSheetId="4"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Engine._.steady._.state._.comp.." localSheetId="6"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Engine._.steady._.state._.comp.." hidden="1">{"model definition",#N/A,TRUE,"engine";"steady state comp. box 1_16",#N/A,TRUE,"engine";"steady state comp. box 17_32",#N/A,TRUE,"engine";"mass balance coeff box 1_16",#N/A,TRUE,"engine";"mass balance coeff box 17_32",#N/A,TRUE,"engine";"steady state mass flows b1_16",#N/A,TRUE,"engine";"steady state mass flows b17_32",#N/A,TRUE,"engine"}</definedName>
    <definedName name="wrn.Quasi._.dynamic._.output._.charts." localSheetId="17" hidden="1">{"charts",#N/A,TRUE,"charts"}</definedName>
    <definedName name="wrn.Quasi._.dynamic._.output._.charts." localSheetId="16" hidden="1">{"charts",#N/A,TRUE,"charts"}</definedName>
    <definedName name="wrn.Quasi._.dynamic._.output._.charts." localSheetId="18" hidden="1">{"charts",#N/A,TRUE,"charts"}</definedName>
    <definedName name="wrn.Quasi._.dynamic._.output._.charts." localSheetId="15" hidden="1">{"charts",#N/A,TRUE,"charts"}</definedName>
    <definedName name="wrn.Quasi._.dynamic._.output._.charts." localSheetId="13" hidden="1">{"charts",#N/A,TRUE,"charts"}</definedName>
    <definedName name="wrn.Quasi._.dynamic._.output._.charts." localSheetId="4" hidden="1">{"charts",#N/A,TRUE,"charts"}</definedName>
    <definedName name="wrn.Quasi._.dynamic._.output._.charts." localSheetId="6" hidden="1">{"charts",#N/A,TRUE,"charts"}</definedName>
    <definedName name="wrn.Quasi._.dynamic._.output._.charts." hidden="1">{"charts",#N/A,TRUE,"charts"}</definedName>
    <definedName name="wrn.SimpleBox." localSheetId="17"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 localSheetId="16"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 localSheetId="18"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 localSheetId="15"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 localSheetId="13"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 localSheetId="4"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 localSheetId="6"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 hidden="1">{"model definition",#N/A,TRUE,"regional";"output analysis report",#N/A,TRUE,"regional";"proces half life",#N/A,TRUE,"regional";"steady state mass flows",#N/A,TRUE,"regional";"model picture",#N/A,TRUE,"regional";"model definition",#N/A,TRUE,"continental";"output analysis report",#N/A,TRUE,"continental";"proces half life",#N/A,TRUE,"continental";"steady state mass flows",#N/A,TRUE,"continental";"model picture",#N/A,TRUE,"continental";"model definition",#N/A,TRUE,"moderate";"output analysis report",#N/A,TRUE,"moderate";"proces half life",#N/A,TRUE,"moderate";"steady state mass flows",#N/A,TRUE,"moderate";"model picture",#N/A,TRUE,"moderate";"model definition",#N/A,TRUE,"arctic";"output analysis report",#N/A,TRUE,"arctic";"proces half life",#N/A,TRUE,"arctic";"steady state mass flows",#N/A,TRUE,"arctic";"model picture",#N/A,TRUE,"arctic";"model definition",#N/A,TRUE,"tropic";"output analysis report",#N/A,TRUE,"tropic";"proces half life",#N/A,TRUE,"tropic";"steady state mass flows",#N/A,TRUE,"tropic";"model picture",#N/A,TRUE,"tropic";"charts",#N/A,TRUE,"charts"}</definedName>
    <definedName name="wrn.SimpleBox._.arctic._.scale." localSheetId="17" hidden="1">{"model definition",#N/A,TRUE,"arctic";"output analysis report",#N/A,TRUE,"arctic";"proces half life",#N/A,TRUE,"arctic";"steady state mass flows",#N/A,TRUE,"arctic";"model picture",#N/A,TRUE,"arctic"}</definedName>
    <definedName name="wrn.SimpleBox._.arctic._.scale." localSheetId="16" hidden="1">{"model definition",#N/A,TRUE,"arctic";"output analysis report",#N/A,TRUE,"arctic";"proces half life",#N/A,TRUE,"arctic";"steady state mass flows",#N/A,TRUE,"arctic";"model picture",#N/A,TRUE,"arctic"}</definedName>
    <definedName name="wrn.SimpleBox._.arctic._.scale." localSheetId="18" hidden="1">{"model definition",#N/A,TRUE,"arctic";"output analysis report",#N/A,TRUE,"arctic";"proces half life",#N/A,TRUE,"arctic";"steady state mass flows",#N/A,TRUE,"arctic";"model picture",#N/A,TRUE,"arctic"}</definedName>
    <definedName name="wrn.SimpleBox._.arctic._.scale." localSheetId="15" hidden="1">{"model definition",#N/A,TRUE,"arctic";"output analysis report",#N/A,TRUE,"arctic";"proces half life",#N/A,TRUE,"arctic";"steady state mass flows",#N/A,TRUE,"arctic";"model picture",#N/A,TRUE,"arctic"}</definedName>
    <definedName name="wrn.SimpleBox._.arctic._.scale." localSheetId="13" hidden="1">{"model definition",#N/A,TRUE,"arctic";"output analysis report",#N/A,TRUE,"arctic";"proces half life",#N/A,TRUE,"arctic";"steady state mass flows",#N/A,TRUE,"arctic";"model picture",#N/A,TRUE,"arctic"}</definedName>
    <definedName name="wrn.SimpleBox._.arctic._.scale." localSheetId="4" hidden="1">{"model definition",#N/A,TRUE,"arctic";"output analysis report",#N/A,TRUE,"arctic";"proces half life",#N/A,TRUE,"arctic";"steady state mass flows",#N/A,TRUE,"arctic";"model picture",#N/A,TRUE,"arctic"}</definedName>
    <definedName name="wrn.SimpleBox._.arctic._.scale." localSheetId="6" hidden="1">{"model definition",#N/A,TRUE,"arctic";"output analysis report",#N/A,TRUE,"arctic";"proces half life",#N/A,TRUE,"arctic";"steady state mass flows",#N/A,TRUE,"arctic";"model picture",#N/A,TRUE,"arctic"}</definedName>
    <definedName name="wrn.SimpleBox._.arctic._.scale." hidden="1">{"model definition",#N/A,TRUE,"arctic";"output analysis report",#N/A,TRUE,"arctic";"proces half life",#N/A,TRUE,"arctic";"steady state mass flows",#N/A,TRUE,"arctic";"model picture",#N/A,TRUE,"arctic"}</definedName>
    <definedName name="wrn.SimpleBox._.continental._.scale." localSheetId="17" hidden="1">{"model definition",#N/A,TRUE,"continental";"output analysis report",#N/A,TRUE,"continental";"proces half life",#N/A,TRUE,"continental";"steady state mass flows",#N/A,TRUE,"continental";"model picture",#N/A,TRUE,"continental"}</definedName>
    <definedName name="wrn.SimpleBox._.continental._.scale." localSheetId="16" hidden="1">{"model definition",#N/A,TRUE,"continental";"output analysis report",#N/A,TRUE,"continental";"proces half life",#N/A,TRUE,"continental";"steady state mass flows",#N/A,TRUE,"continental";"model picture",#N/A,TRUE,"continental"}</definedName>
    <definedName name="wrn.SimpleBox._.continental._.scale." localSheetId="18" hidden="1">{"model definition",#N/A,TRUE,"continental";"output analysis report",#N/A,TRUE,"continental";"proces half life",#N/A,TRUE,"continental";"steady state mass flows",#N/A,TRUE,"continental";"model picture",#N/A,TRUE,"continental"}</definedName>
    <definedName name="wrn.SimpleBox._.continental._.scale." localSheetId="15" hidden="1">{"model definition",#N/A,TRUE,"continental";"output analysis report",#N/A,TRUE,"continental";"proces half life",#N/A,TRUE,"continental";"steady state mass flows",#N/A,TRUE,"continental";"model picture",#N/A,TRUE,"continental"}</definedName>
    <definedName name="wrn.SimpleBox._.continental._.scale." localSheetId="13" hidden="1">{"model definition",#N/A,TRUE,"continental";"output analysis report",#N/A,TRUE,"continental";"proces half life",#N/A,TRUE,"continental";"steady state mass flows",#N/A,TRUE,"continental";"model picture",#N/A,TRUE,"continental"}</definedName>
    <definedName name="wrn.SimpleBox._.continental._.scale." localSheetId="4" hidden="1">{"model definition",#N/A,TRUE,"continental";"output analysis report",#N/A,TRUE,"continental";"proces half life",#N/A,TRUE,"continental";"steady state mass flows",#N/A,TRUE,"continental";"model picture",#N/A,TRUE,"continental"}</definedName>
    <definedName name="wrn.SimpleBox._.continental._.scale." localSheetId="6" hidden="1">{"model definition",#N/A,TRUE,"continental";"output analysis report",#N/A,TRUE,"continental";"proces half life",#N/A,TRUE,"continental";"steady state mass flows",#N/A,TRUE,"continental";"model picture",#N/A,TRUE,"continental"}</definedName>
    <definedName name="wrn.SimpleBox._.continental._.scale." hidden="1">{"model definition",#N/A,TRUE,"continental";"output analysis report",#N/A,TRUE,"continental";"proces half life",#N/A,TRUE,"continental";"steady state mass flows",#N/A,TRUE,"continental";"model picture",#N/A,TRUE,"continental"}</definedName>
    <definedName name="wrn.SimpleBox._.moderate._.scale." localSheetId="17" hidden="1">{"model definition",#N/A,TRUE,"moderate";"output analysis report",#N/A,TRUE,"moderate";"proces half life",#N/A,TRUE,"moderate";"steady state mass flows",#N/A,TRUE,"moderate";"model picture",#N/A,TRUE,"moderate"}</definedName>
    <definedName name="wrn.SimpleBox._.moderate._.scale." localSheetId="16" hidden="1">{"model definition",#N/A,TRUE,"moderate";"output analysis report",#N/A,TRUE,"moderate";"proces half life",#N/A,TRUE,"moderate";"steady state mass flows",#N/A,TRUE,"moderate";"model picture",#N/A,TRUE,"moderate"}</definedName>
    <definedName name="wrn.SimpleBox._.moderate._.scale." localSheetId="18" hidden="1">{"model definition",#N/A,TRUE,"moderate";"output analysis report",#N/A,TRUE,"moderate";"proces half life",#N/A,TRUE,"moderate";"steady state mass flows",#N/A,TRUE,"moderate";"model picture",#N/A,TRUE,"moderate"}</definedName>
    <definedName name="wrn.SimpleBox._.moderate._.scale." localSheetId="15" hidden="1">{"model definition",#N/A,TRUE,"moderate";"output analysis report",#N/A,TRUE,"moderate";"proces half life",#N/A,TRUE,"moderate";"steady state mass flows",#N/A,TRUE,"moderate";"model picture",#N/A,TRUE,"moderate"}</definedName>
    <definedName name="wrn.SimpleBox._.moderate._.scale." localSheetId="13" hidden="1">{"model definition",#N/A,TRUE,"moderate";"output analysis report",#N/A,TRUE,"moderate";"proces half life",#N/A,TRUE,"moderate";"steady state mass flows",#N/A,TRUE,"moderate";"model picture",#N/A,TRUE,"moderate"}</definedName>
    <definedName name="wrn.SimpleBox._.moderate._.scale." localSheetId="4" hidden="1">{"model definition",#N/A,TRUE,"moderate";"output analysis report",#N/A,TRUE,"moderate";"proces half life",#N/A,TRUE,"moderate";"steady state mass flows",#N/A,TRUE,"moderate";"model picture",#N/A,TRUE,"moderate"}</definedName>
    <definedName name="wrn.SimpleBox._.moderate._.scale." localSheetId="6" hidden="1">{"model definition",#N/A,TRUE,"moderate";"output analysis report",#N/A,TRUE,"moderate";"proces half life",#N/A,TRUE,"moderate";"steady state mass flows",#N/A,TRUE,"moderate";"model picture",#N/A,TRUE,"moderate"}</definedName>
    <definedName name="wrn.SimpleBox._.moderate._.scale." hidden="1">{"model definition",#N/A,TRUE,"moderate";"output analysis report",#N/A,TRUE,"moderate";"proces half life",#N/A,TRUE,"moderate";"steady state mass flows",#N/A,TRUE,"moderate";"model picture",#N/A,TRUE,"moderate"}</definedName>
    <definedName name="wrn.SimpleBox._.regional._.scale." localSheetId="17" hidden="1">{"model definition",#N/A,TRUE,"regional";"output analysis report",#N/A,TRUE,"regional";"proces half life",#N/A,TRUE,"regional";"steady state mass flows",#N/A,TRUE,"regional";"model picture",#N/A,TRUE,"regional"}</definedName>
    <definedName name="wrn.SimpleBox._.regional._.scale." localSheetId="16" hidden="1">{"model definition",#N/A,TRUE,"regional";"output analysis report",#N/A,TRUE,"regional";"proces half life",#N/A,TRUE,"regional";"steady state mass flows",#N/A,TRUE,"regional";"model picture",#N/A,TRUE,"regional"}</definedName>
    <definedName name="wrn.SimpleBox._.regional._.scale." localSheetId="18" hidden="1">{"model definition",#N/A,TRUE,"regional";"output analysis report",#N/A,TRUE,"regional";"proces half life",#N/A,TRUE,"regional";"steady state mass flows",#N/A,TRUE,"regional";"model picture",#N/A,TRUE,"regional"}</definedName>
    <definedName name="wrn.SimpleBox._.regional._.scale." localSheetId="15" hidden="1">{"model definition",#N/A,TRUE,"regional";"output analysis report",#N/A,TRUE,"regional";"proces half life",#N/A,TRUE,"regional";"steady state mass flows",#N/A,TRUE,"regional";"model picture",#N/A,TRUE,"regional"}</definedName>
    <definedName name="wrn.SimpleBox._.regional._.scale." localSheetId="13" hidden="1">{"model definition",#N/A,TRUE,"regional";"output analysis report",#N/A,TRUE,"regional";"proces half life",#N/A,TRUE,"regional";"steady state mass flows",#N/A,TRUE,"regional";"model picture",#N/A,TRUE,"regional"}</definedName>
    <definedName name="wrn.SimpleBox._.regional._.scale." localSheetId="4" hidden="1">{"model definition",#N/A,TRUE,"regional";"output analysis report",#N/A,TRUE,"regional";"proces half life",#N/A,TRUE,"regional";"steady state mass flows",#N/A,TRUE,"regional";"model picture",#N/A,TRUE,"regional"}</definedName>
    <definedName name="wrn.SimpleBox._.regional._.scale." localSheetId="6" hidden="1">{"model definition",#N/A,TRUE,"regional";"output analysis report",#N/A,TRUE,"regional";"proces half life",#N/A,TRUE,"regional";"steady state mass flows",#N/A,TRUE,"regional";"model picture",#N/A,TRUE,"regional"}</definedName>
    <definedName name="wrn.SimpleBox._.regional._.scale." hidden="1">{"model definition",#N/A,TRUE,"regional";"output analysis report",#N/A,TRUE,"regional";"proces half life",#N/A,TRUE,"regional";"steady state mass flows",#N/A,TRUE,"regional";"model picture",#N/A,TRUE,"regional"}</definedName>
    <definedName name="wrn.SimpleBox._.tropic._.scale." localSheetId="17" hidden="1">{"output analysis report",#N/A,TRUE,"tropic";"model definition",#N/A,TRUE,"tropic";"proces half life",#N/A,TRUE,"tropic";"steady state mass flows",#N/A,TRUE,"tropic";"model picture",#N/A,TRUE,"tropic"}</definedName>
    <definedName name="wrn.SimpleBox._.tropic._.scale." localSheetId="16" hidden="1">{"output analysis report",#N/A,TRUE,"tropic";"model definition",#N/A,TRUE,"tropic";"proces half life",#N/A,TRUE,"tropic";"steady state mass flows",#N/A,TRUE,"tropic";"model picture",#N/A,TRUE,"tropic"}</definedName>
    <definedName name="wrn.SimpleBox._.tropic._.scale." localSheetId="18" hidden="1">{"output analysis report",#N/A,TRUE,"tropic";"model definition",#N/A,TRUE,"tropic";"proces half life",#N/A,TRUE,"tropic";"steady state mass flows",#N/A,TRUE,"tropic";"model picture",#N/A,TRUE,"tropic"}</definedName>
    <definedName name="wrn.SimpleBox._.tropic._.scale." localSheetId="15" hidden="1">{"output analysis report",#N/A,TRUE,"tropic";"model definition",#N/A,TRUE,"tropic";"proces half life",#N/A,TRUE,"tropic";"steady state mass flows",#N/A,TRUE,"tropic";"model picture",#N/A,TRUE,"tropic"}</definedName>
    <definedName name="wrn.SimpleBox._.tropic._.scale." localSheetId="13" hidden="1">{"output analysis report",#N/A,TRUE,"tropic";"model definition",#N/A,TRUE,"tropic";"proces half life",#N/A,TRUE,"tropic";"steady state mass flows",#N/A,TRUE,"tropic";"model picture",#N/A,TRUE,"tropic"}</definedName>
    <definedName name="wrn.SimpleBox._.tropic._.scale." localSheetId="4" hidden="1">{"output analysis report",#N/A,TRUE,"tropic";"model definition",#N/A,TRUE,"tropic";"proces half life",#N/A,TRUE,"tropic";"steady state mass flows",#N/A,TRUE,"tropic";"model picture",#N/A,TRUE,"tropic"}</definedName>
    <definedName name="wrn.SimpleBox._.tropic._.scale." localSheetId="6" hidden="1">{"output analysis report",#N/A,TRUE,"tropic";"model definition",#N/A,TRUE,"tropic";"proces half life",#N/A,TRUE,"tropic";"steady state mass flows",#N/A,TRUE,"tropic";"model picture",#N/A,TRUE,"tropic"}</definedName>
    <definedName name="wrn.SimpleBox._.tropic._.scale." hidden="1">{"output analysis report",#N/A,TRUE,"tropic";"model definition",#N/A,TRUE,"tropic";"proces half life",#N/A,TRUE,"tropic";"steady state mass flows",#N/A,TRUE,"tropic";"model picture",#N/A,TRUE,"tropic"}</definedName>
    <definedName name="wrn.USW." localSheetId="17" hidden="1">{"IS",#N/A,FALSE,"IS";"RPTIS",#N/A,FALSE,"RPTIS";"STATS",#N/A,FALSE,"STATS";"BS",#N/A,FALSE,"BS"}</definedName>
    <definedName name="wrn.USW." localSheetId="16" hidden="1">{"IS",#N/A,FALSE,"IS";"RPTIS",#N/A,FALSE,"RPTIS";"STATS",#N/A,FALSE,"STATS";"BS",#N/A,FALSE,"BS"}</definedName>
    <definedName name="wrn.USW." localSheetId="18" hidden="1">{"IS",#N/A,FALSE,"IS";"RPTIS",#N/A,FALSE,"RPTIS";"STATS",#N/A,FALSE,"STATS";"BS",#N/A,FALSE,"BS"}</definedName>
    <definedName name="wrn.USW." localSheetId="15" hidden="1">{"IS",#N/A,FALSE,"IS";"RPTIS",#N/A,FALSE,"RPTIS";"STATS",#N/A,FALSE,"STATS";"BS",#N/A,FALSE,"BS"}</definedName>
    <definedName name="wrn.USW." localSheetId="13" hidden="1">{"IS",#N/A,FALSE,"IS";"RPTIS",#N/A,FALSE,"RPTIS";"STATS",#N/A,FALSE,"STATS";"BS",#N/A,FALSE,"BS"}</definedName>
    <definedName name="wrn.USW." localSheetId="4" hidden="1">{"IS",#N/A,FALSE,"IS";"RPTIS",#N/A,FALSE,"RPTIS";"STATS",#N/A,FALSE,"STATS";"BS",#N/A,FALSE,"BS"}</definedName>
    <definedName name="wrn.USW." localSheetId="6" hidden="1">{"IS",#N/A,FALSE,"IS";"RPTIS",#N/A,FALSE,"RPTIS";"STATS",#N/A,FALSE,"STATS";"BS",#N/A,FALSE,"BS"}</definedName>
    <definedName name="wrn.USW." hidden="1">{"IS",#N/A,FALSE,"IS";"RPTIS",#N/A,FALSE,"RPTIS";"STATS",#N/A,FALSE,"STATS";"BS",#N/A,FALSE,"BS"}</definedName>
    <definedName name="ytd" localSheetId="15" hidden="1">#REF!</definedName>
    <definedName name="ytd" hidden="1">#REF!</definedName>
  </definedNames>
  <calcPr calcId="191029"/>
  <pivotCaches>
    <pivotCache cacheId="0" r:id="rId39"/>
    <pivotCache cacheId="1" r:id="rId40"/>
    <pivotCache cacheId="3" r:id="rId4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8" i="2" l="1"/>
  <c r="V43" i="19"/>
  <c r="AA40" i="19"/>
  <c r="AC40" i="19" s="1"/>
  <c r="AA37" i="19"/>
  <c r="AE43" i="19"/>
  <c r="AC43" i="19"/>
  <c r="AB43" i="19"/>
  <c r="AA43" i="19"/>
  <c r="Z43" i="19"/>
  <c r="Y43" i="19"/>
  <c r="X43" i="19"/>
  <c r="W43" i="19"/>
  <c r="AE42" i="19"/>
  <c r="AC42" i="19"/>
  <c r="AB42" i="19"/>
  <c r="AA42" i="19"/>
  <c r="Z42" i="19"/>
  <c r="Y42" i="19"/>
  <c r="W42" i="19"/>
  <c r="V42" i="19"/>
  <c r="AE41" i="19"/>
  <c r="AC41" i="19"/>
  <c r="AB41" i="19"/>
  <c r="AA41" i="19"/>
  <c r="Z41" i="19"/>
  <c r="Y41" i="19"/>
  <c r="W41" i="19"/>
  <c r="V41" i="19"/>
  <c r="AE40" i="19"/>
  <c r="AB40" i="19"/>
  <c r="Z40" i="19"/>
  <c r="Y40" i="19"/>
  <c r="W40" i="19"/>
  <c r="V40" i="19"/>
  <c r="AE39" i="19"/>
  <c r="AA39" i="19"/>
  <c r="X39" i="19"/>
  <c r="W39" i="19"/>
  <c r="V39" i="19"/>
  <c r="AE38" i="19"/>
  <c r="AC38" i="19"/>
  <c r="AB38" i="19"/>
  <c r="AA38" i="19"/>
  <c r="Z38" i="19"/>
  <c r="Y38" i="19"/>
  <c r="X38" i="19"/>
  <c r="W38" i="19"/>
  <c r="V38" i="19"/>
  <c r="T43" i="19"/>
  <c r="R43" i="19"/>
  <c r="P43" i="19"/>
  <c r="O43" i="19"/>
  <c r="M43" i="19"/>
  <c r="T42" i="19"/>
  <c r="P42" i="19"/>
  <c r="O42" i="19"/>
  <c r="M42" i="19"/>
  <c r="T41" i="19"/>
  <c r="P41" i="19"/>
  <c r="O41" i="19"/>
  <c r="M41" i="19"/>
  <c r="T40" i="19"/>
  <c r="O40" i="19"/>
  <c r="M40" i="19"/>
  <c r="T39" i="19"/>
  <c r="R39" i="19"/>
  <c r="P39" i="19"/>
  <c r="O39" i="19"/>
  <c r="M39" i="19"/>
  <c r="T38" i="19"/>
  <c r="R38" i="19"/>
  <c r="P38" i="19"/>
  <c r="O38" i="19"/>
  <c r="M38" i="19"/>
  <c r="B467" i="2"/>
  <c r="B486" i="2"/>
  <c r="B484" i="2"/>
  <c r="B483" i="2"/>
  <c r="B482" i="2"/>
  <c r="B481" i="2"/>
  <c r="B480" i="2"/>
  <c r="B434" i="2"/>
  <c r="B427" i="2"/>
  <c r="B431" i="2" s="1"/>
  <c r="B420" i="2"/>
  <c r="B424" i="2" s="1"/>
  <c r="B416" i="2"/>
  <c r="B410" i="2"/>
  <c r="B406" i="2"/>
  <c r="AA3" i="19"/>
  <c r="AA4" i="19"/>
  <c r="AA5" i="19"/>
  <c r="AA6" i="19"/>
  <c r="AA7" i="19"/>
  <c r="AA8" i="19"/>
  <c r="AA2" i="19"/>
  <c r="AA14" i="19"/>
  <c r="T23" i="19"/>
  <c r="AE8" i="19"/>
  <c r="W8" i="19"/>
  <c r="Y8" i="19" s="1"/>
  <c r="T8" i="19"/>
  <c r="M8" i="19"/>
  <c r="AE7" i="19"/>
  <c r="W7" i="19"/>
  <c r="Y7" i="19" s="1"/>
  <c r="M7" i="19"/>
  <c r="AE6" i="19"/>
  <c r="W6" i="19"/>
  <c r="Y6" i="19" s="1"/>
  <c r="T6" i="19"/>
  <c r="M6" i="19"/>
  <c r="AE5" i="19"/>
  <c r="W5" i="19"/>
  <c r="Y5" i="19" s="1"/>
  <c r="T5" i="19"/>
  <c r="M5" i="19"/>
  <c r="AE4" i="19"/>
  <c r="W4" i="19"/>
  <c r="Y4" i="19" s="1"/>
  <c r="T4" i="19"/>
  <c r="M4" i="19"/>
  <c r="AE3" i="19"/>
  <c r="W3" i="19"/>
  <c r="Y3" i="19" s="1"/>
  <c r="M3" i="19"/>
  <c r="AE2" i="19"/>
  <c r="W2" i="19"/>
  <c r="Y2" i="19" s="1"/>
  <c r="T2" i="19"/>
  <c r="M2" i="19"/>
  <c r="T37" i="19"/>
  <c r="T36" i="19"/>
  <c r="T34" i="19"/>
  <c r="T33" i="19"/>
  <c r="T30" i="19"/>
  <c r="T29" i="19"/>
  <c r="T27" i="19"/>
  <c r="T26" i="19"/>
  <c r="T24" i="19"/>
  <c r="T21" i="19"/>
  <c r="T20" i="19"/>
  <c r="T19" i="19"/>
  <c r="T18" i="19"/>
  <c r="T14" i="19"/>
  <c r="T12" i="19"/>
  <c r="T11" i="19"/>
  <c r="AE37" i="19"/>
  <c r="W37" i="19"/>
  <c r="Y37" i="19" s="1"/>
  <c r="AE36" i="19"/>
  <c r="W36" i="19"/>
  <c r="Y36" i="19" s="1"/>
  <c r="AE35" i="19"/>
  <c r="W35" i="19"/>
  <c r="Y35" i="19" s="1"/>
  <c r="M35" i="19"/>
  <c r="AE34" i="19"/>
  <c r="W34" i="19"/>
  <c r="Y34" i="19" s="1"/>
  <c r="R34" i="19"/>
  <c r="M34" i="19"/>
  <c r="AE33" i="19"/>
  <c r="W33" i="19"/>
  <c r="Y33" i="19" s="1"/>
  <c r="R33" i="19"/>
  <c r="M33" i="19"/>
  <c r="AE32" i="19"/>
  <c r="W32" i="19"/>
  <c r="Y32" i="19" s="1"/>
  <c r="T32" i="19"/>
  <c r="P32" i="19"/>
  <c r="O32" i="19"/>
  <c r="M32" i="19"/>
  <c r="AE31" i="19"/>
  <c r="W31" i="19"/>
  <c r="Y31" i="19" s="1"/>
  <c r="T31" i="19"/>
  <c r="R31" i="19"/>
  <c r="P31" i="19"/>
  <c r="O31" i="19"/>
  <c r="M31" i="19"/>
  <c r="AE30" i="19"/>
  <c r="W30" i="19"/>
  <c r="Y30" i="19" s="1"/>
  <c r="M30" i="19"/>
  <c r="AE29" i="19"/>
  <c r="W29" i="19"/>
  <c r="Y29" i="19" s="1"/>
  <c r="AE28" i="19"/>
  <c r="W28" i="19"/>
  <c r="Y28" i="19" s="1"/>
  <c r="T28" i="19"/>
  <c r="R28" i="19"/>
  <c r="P28" i="19"/>
  <c r="O28" i="19"/>
  <c r="AE27" i="19"/>
  <c r="W27" i="19"/>
  <c r="Y27" i="19" s="1"/>
  <c r="M20" i="19"/>
  <c r="AE26" i="19"/>
  <c r="W26" i="19"/>
  <c r="Y26" i="19" s="1"/>
  <c r="M26" i="19"/>
  <c r="AE25" i="19"/>
  <c r="W25" i="19"/>
  <c r="Y25" i="19" s="1"/>
  <c r="T25" i="19"/>
  <c r="R25" i="19"/>
  <c r="P25" i="19"/>
  <c r="O25" i="19"/>
  <c r="M25" i="19"/>
  <c r="AE24" i="19"/>
  <c r="W24" i="19"/>
  <c r="Y24" i="19" s="1"/>
  <c r="M24" i="19"/>
  <c r="AE23" i="19"/>
  <c r="W23" i="19"/>
  <c r="Y23" i="19" s="1"/>
  <c r="M23" i="19"/>
  <c r="AE22" i="19"/>
  <c r="W22" i="19"/>
  <c r="Y22" i="19" s="1"/>
  <c r="T22" i="19"/>
  <c r="R22" i="19"/>
  <c r="P22" i="19"/>
  <c r="O22" i="19"/>
  <c r="M22" i="19"/>
  <c r="AE21" i="19"/>
  <c r="W21" i="19"/>
  <c r="Y21" i="19" s="1"/>
  <c r="M21" i="19"/>
  <c r="AE20" i="19"/>
  <c r="W20" i="19"/>
  <c r="Y20" i="19" s="1"/>
  <c r="AE19" i="19"/>
  <c r="W19" i="19"/>
  <c r="Y19" i="19" s="1"/>
  <c r="AE18" i="19"/>
  <c r="W18" i="19"/>
  <c r="Y18" i="19" s="1"/>
  <c r="AE17" i="19"/>
  <c r="W17" i="19"/>
  <c r="Y17" i="19" s="1"/>
  <c r="T17" i="19"/>
  <c r="R17" i="19"/>
  <c r="AE16" i="19"/>
  <c r="W16" i="19"/>
  <c r="Y16" i="19" s="1"/>
  <c r="T16" i="19"/>
  <c r="R16" i="19"/>
  <c r="M16" i="19"/>
  <c r="AE15" i="19"/>
  <c r="W15" i="19"/>
  <c r="Y15" i="19" s="1"/>
  <c r="AE14" i="19"/>
  <c r="W14" i="19"/>
  <c r="Y14" i="19" s="1"/>
  <c r="M14" i="19"/>
  <c r="AE13" i="19"/>
  <c r="W13" i="19"/>
  <c r="Y13" i="19" s="1"/>
  <c r="T13" i="19"/>
  <c r="O13" i="19"/>
  <c r="AE12" i="19"/>
  <c r="W12" i="19"/>
  <c r="Y12" i="19" s="1"/>
  <c r="AE11" i="19"/>
  <c r="W11" i="19"/>
  <c r="Y11" i="19" s="1"/>
  <c r="Q11" i="19"/>
  <c r="AE10" i="19"/>
  <c r="W10" i="19"/>
  <c r="Y10" i="19" s="1"/>
  <c r="T10" i="19"/>
  <c r="M10" i="19"/>
  <c r="AE9" i="19"/>
  <c r="W9" i="19"/>
  <c r="Y9" i="19" s="1"/>
  <c r="T9" i="19"/>
  <c r="M9" i="19"/>
  <c r="AB39" i="19" l="1"/>
  <c r="Y39" i="19"/>
  <c r="AC39" i="19"/>
  <c r="Z39" i="19"/>
  <c r="V23" i="19"/>
  <c r="Z23" i="19" s="1"/>
  <c r="AB21" i="19"/>
  <c r="AB14" i="19"/>
  <c r="AB22" i="19"/>
  <c r="AB29" i="19"/>
  <c r="AB30" i="19"/>
  <c r="AB5" i="19"/>
  <c r="AB37" i="19"/>
  <c r="V10" i="19"/>
  <c r="AB6" i="19"/>
  <c r="AB13" i="19"/>
  <c r="AB8" i="19"/>
  <c r="AB16" i="19"/>
  <c r="AB24" i="19"/>
  <c r="AB32" i="19"/>
  <c r="AB9" i="19"/>
  <c r="AB17" i="19"/>
  <c r="AB25" i="19"/>
  <c r="AB33" i="19"/>
  <c r="AB2" i="19"/>
  <c r="AB10" i="19"/>
  <c r="AB18" i="19"/>
  <c r="AB26" i="19"/>
  <c r="AB34" i="19"/>
  <c r="V30" i="19"/>
  <c r="AB3" i="19"/>
  <c r="AB11" i="19"/>
  <c r="AB19" i="19"/>
  <c r="AB27" i="19"/>
  <c r="AB35" i="19"/>
  <c r="AB4" i="19"/>
  <c r="AB12" i="19"/>
  <c r="AB20" i="19"/>
  <c r="AB28" i="19"/>
  <c r="AB36" i="19"/>
  <c r="AB7" i="19"/>
  <c r="AB15" i="19"/>
  <c r="AB23" i="19"/>
  <c r="AB31" i="19"/>
  <c r="V26" i="19"/>
  <c r="Z26" i="19" s="1"/>
  <c r="V2" i="19"/>
  <c r="V4" i="19"/>
  <c r="V8" i="19"/>
  <c r="V14" i="19"/>
  <c r="V24" i="19"/>
  <c r="V22" i="19"/>
  <c r="V6" i="19"/>
  <c r="Z6" i="19" s="1"/>
  <c r="V33" i="19"/>
  <c r="V5" i="19"/>
  <c r="Z5" i="19" s="1"/>
  <c r="V9" i="19"/>
  <c r="V16" i="19"/>
  <c r="V32" i="19"/>
  <c r="V21" i="19"/>
  <c r="V31" i="19"/>
  <c r="V34" i="19"/>
  <c r="V25" i="19"/>
  <c r="V20" i="19"/>
  <c r="Z20" i="19" l="1"/>
  <c r="Z2" i="19"/>
  <c r="Z4" i="19"/>
  <c r="Z24" i="19"/>
  <c r="Z8" i="19"/>
  <c r="Z30" i="19"/>
  <c r="Z33" i="19"/>
  <c r="Z34" i="19"/>
  <c r="Z21" i="19"/>
  <c r="Z14" i="19"/>
  <c r="B381" i="2" l="1"/>
  <c r="B325" i="2"/>
  <c r="B324" i="2"/>
  <c r="B308" i="2"/>
  <c r="B317" i="2"/>
  <c r="B468" i="2" s="1"/>
  <c r="B302" i="2"/>
  <c r="B465" i="2" s="1"/>
  <c r="B376" i="2"/>
  <c r="B239" i="2"/>
  <c r="B459" i="2" s="1"/>
  <c r="B206" i="2"/>
  <c r="B177" i="2" s="1"/>
  <c r="T7" i="19" s="1"/>
  <c r="V7" i="19" s="1"/>
  <c r="Z7" i="19" l="1"/>
  <c r="B479" i="2"/>
  <c r="T35" i="19"/>
  <c r="V35" i="19" s="1"/>
  <c r="B470" i="2"/>
  <c r="B262" i="2"/>
  <c r="M17" i="19" s="1"/>
  <c r="V17" i="19" s="1"/>
  <c r="B287" i="2"/>
  <c r="B464" i="2" s="1"/>
  <c r="B278" i="2"/>
  <c r="B223" i="2"/>
  <c r="M15" i="19" s="1"/>
  <c r="B222" i="2"/>
  <c r="B211" i="2"/>
  <c r="B252" i="2"/>
  <c r="B385" i="2"/>
  <c r="B477" i="2"/>
  <c r="B375" i="2"/>
  <c r="B476" i="2" s="1"/>
  <c r="B329" i="2"/>
  <c r="B244" i="2"/>
  <c r="T15" i="19" s="1"/>
  <c r="B231" i="2"/>
  <c r="R13" i="19" s="1"/>
  <c r="B221" i="2"/>
  <c r="B214" i="2" l="1"/>
  <c r="B456" i="2" s="1"/>
  <c r="M11" i="19"/>
  <c r="V11" i="19" s="1"/>
  <c r="B390" i="2"/>
  <c r="M36" i="19"/>
  <c r="V36" i="19" s="1"/>
  <c r="B280" i="2"/>
  <c r="B463" i="2" s="1"/>
  <c r="M19" i="19"/>
  <c r="V19" i="19" s="1"/>
  <c r="B255" i="2"/>
  <c r="B461" i="2" s="1"/>
  <c r="M18" i="19"/>
  <c r="V18" i="19" s="1"/>
  <c r="Z35" i="19"/>
  <c r="V15" i="19"/>
  <c r="B336" i="2"/>
  <c r="B472" i="2" s="1"/>
  <c r="B335" i="2"/>
  <c r="B471" i="2" s="1"/>
  <c r="B246" i="2"/>
  <c r="B460" i="2" s="1"/>
  <c r="B232" i="2"/>
  <c r="B388" i="2"/>
  <c r="B331" i="2"/>
  <c r="AE44" i="19"/>
  <c r="AE47" i="19"/>
  <c r="AE48" i="19"/>
  <c r="AE49" i="19"/>
  <c r="AE50" i="19"/>
  <c r="AE51" i="19"/>
  <c r="AE52" i="19"/>
  <c r="AE53" i="19"/>
  <c r="AE54" i="19"/>
  <c r="AE55" i="19"/>
  <c r="AE56" i="19"/>
  <c r="AE57" i="19"/>
  <c r="AE58" i="19"/>
  <c r="AE59" i="19"/>
  <c r="AE60" i="19"/>
  <c r="AE61" i="19"/>
  <c r="AE62" i="19"/>
  <c r="AE63" i="19"/>
  <c r="AE64" i="19"/>
  <c r="AE65" i="19"/>
  <c r="AE66" i="19"/>
  <c r="AE67" i="19"/>
  <c r="AE68" i="19"/>
  <c r="AE69" i="19"/>
  <c r="AE70" i="19"/>
  <c r="AE71" i="19"/>
  <c r="AE72" i="19"/>
  <c r="AE73" i="19"/>
  <c r="AE74" i="19"/>
  <c r="AE75" i="19"/>
  <c r="AE76" i="19"/>
  <c r="AE77" i="19"/>
  <c r="AE78" i="19"/>
  <c r="AE79" i="19"/>
  <c r="AE80" i="19"/>
  <c r="AE81" i="19"/>
  <c r="AE82" i="19"/>
  <c r="AE83" i="19"/>
  <c r="AE84" i="19"/>
  <c r="AE85" i="19"/>
  <c r="AE86" i="19"/>
  <c r="AE87" i="19"/>
  <c r="AE88" i="19"/>
  <c r="AE89" i="19"/>
  <c r="AE90" i="19"/>
  <c r="AE91" i="19"/>
  <c r="AE92" i="19"/>
  <c r="AE93" i="19"/>
  <c r="AE94" i="19"/>
  <c r="AE95" i="19"/>
  <c r="AE96" i="19"/>
  <c r="AE97" i="19"/>
  <c r="AE98" i="19"/>
  <c r="AE99" i="19"/>
  <c r="AE100" i="19"/>
  <c r="AE101" i="19"/>
  <c r="AE102" i="19"/>
  <c r="AE103" i="19"/>
  <c r="AE104" i="19"/>
  <c r="AE105" i="19"/>
  <c r="AE106" i="19"/>
  <c r="AE107" i="19"/>
  <c r="AE108" i="19"/>
  <c r="AE109" i="19"/>
  <c r="AE110" i="19"/>
  <c r="AE111" i="19"/>
  <c r="AE112" i="19"/>
  <c r="AE113" i="19"/>
  <c r="AE114" i="19"/>
  <c r="AE115" i="19"/>
  <c r="AE116" i="19"/>
  <c r="AE117" i="19"/>
  <c r="AE118" i="19"/>
  <c r="AE119" i="19"/>
  <c r="AE120" i="19"/>
  <c r="AE121" i="19"/>
  <c r="AE122" i="19"/>
  <c r="AE123" i="19"/>
  <c r="AE124" i="19"/>
  <c r="AE125" i="19"/>
  <c r="AE126" i="19"/>
  <c r="AE127" i="19"/>
  <c r="AE128" i="19"/>
  <c r="AE129" i="19"/>
  <c r="AE130" i="19"/>
  <c r="AE131" i="19"/>
  <c r="AE132" i="19"/>
  <c r="AE133" i="19"/>
  <c r="AE134" i="19"/>
  <c r="AE135" i="19"/>
  <c r="AE136" i="19"/>
  <c r="AE137" i="19"/>
  <c r="AE138" i="19"/>
  <c r="AE139" i="19"/>
  <c r="AE140" i="19"/>
  <c r="AE141" i="19"/>
  <c r="AE142" i="19"/>
  <c r="AE143" i="19"/>
  <c r="AE144" i="19"/>
  <c r="AE145" i="19"/>
  <c r="AE146" i="19"/>
  <c r="AE147" i="19"/>
  <c r="AE148" i="19"/>
  <c r="AE149" i="19"/>
  <c r="AE150" i="19"/>
  <c r="AE151" i="19"/>
  <c r="AE152" i="19"/>
  <c r="AE153" i="19"/>
  <c r="AE154" i="19"/>
  <c r="AE155" i="19"/>
  <c r="AE156" i="19"/>
  <c r="AE157" i="19"/>
  <c r="AE158" i="19"/>
  <c r="AE159" i="19"/>
  <c r="AE160" i="19"/>
  <c r="AE161" i="19"/>
  <c r="AE162" i="19"/>
  <c r="AE163" i="19"/>
  <c r="AE164" i="19"/>
  <c r="AE165" i="19"/>
  <c r="AE166" i="19"/>
  <c r="AE167" i="19"/>
  <c r="AE168" i="19"/>
  <c r="AE169" i="19"/>
  <c r="AE170" i="19"/>
  <c r="AE171" i="19"/>
  <c r="AE172" i="19"/>
  <c r="AE173" i="19"/>
  <c r="AE174" i="19"/>
  <c r="AE175" i="19"/>
  <c r="AE176" i="19"/>
  <c r="AE177" i="19"/>
  <c r="AE178" i="19"/>
  <c r="AE179" i="19"/>
  <c r="AE180" i="19"/>
  <c r="AE181" i="19"/>
  <c r="AE182" i="19"/>
  <c r="AE183" i="19"/>
  <c r="AE184" i="19"/>
  <c r="AE185" i="19"/>
  <c r="AE186" i="19"/>
  <c r="AE187" i="19"/>
  <c r="AE188" i="19"/>
  <c r="AE189" i="19"/>
  <c r="AE190" i="19"/>
  <c r="F254" i="24"/>
  <c r="E254" i="24"/>
  <c r="D254" i="24"/>
  <c r="C254" i="24"/>
  <c r="F230" i="24"/>
  <c r="E230" i="24"/>
  <c r="D230" i="24"/>
  <c r="D255" i="24" s="1"/>
  <c r="C230" i="24"/>
  <c r="C255" i="24" s="1"/>
  <c r="D178" i="61"/>
  <c r="C178" i="61"/>
  <c r="D177" i="61"/>
  <c r="C177" i="61"/>
  <c r="D176" i="61"/>
  <c r="C176" i="61"/>
  <c r="D175" i="61"/>
  <c r="C175" i="61"/>
  <c r="D174" i="61"/>
  <c r="C174" i="61"/>
  <c r="D173" i="61"/>
  <c r="C173" i="61"/>
  <c r="D172" i="61"/>
  <c r="C172" i="61"/>
  <c r="D171" i="61"/>
  <c r="C171" i="61"/>
  <c r="D170" i="61"/>
  <c r="C170" i="61"/>
  <c r="D169" i="61"/>
  <c r="C169" i="61"/>
  <c r="D168" i="61"/>
  <c r="C168" i="61"/>
  <c r="D167" i="61"/>
  <c r="C167" i="61"/>
  <c r="D166" i="61"/>
  <c r="C166" i="61"/>
  <c r="D165" i="61"/>
  <c r="C165" i="61"/>
  <c r="D164" i="61"/>
  <c r="C164" i="61"/>
  <c r="D163" i="61"/>
  <c r="C163" i="61"/>
  <c r="D162" i="61"/>
  <c r="C162" i="61"/>
  <c r="D161" i="61"/>
  <c r="C161" i="61"/>
  <c r="D160" i="61"/>
  <c r="C160" i="61"/>
  <c r="D159" i="61"/>
  <c r="C159" i="61"/>
  <c r="D158" i="61"/>
  <c r="C158" i="61"/>
  <c r="D157" i="61"/>
  <c r="C157" i="61"/>
  <c r="D156" i="61"/>
  <c r="C156" i="61"/>
  <c r="D155" i="61"/>
  <c r="C155" i="61"/>
  <c r="D154" i="61"/>
  <c r="C154" i="61"/>
  <c r="D153" i="61"/>
  <c r="C153" i="61"/>
  <c r="D152" i="61"/>
  <c r="C152" i="61"/>
  <c r="D151" i="61"/>
  <c r="C151" i="61"/>
  <c r="D150" i="61"/>
  <c r="C150" i="61"/>
  <c r="D149" i="61"/>
  <c r="C149" i="61"/>
  <c r="D148" i="61"/>
  <c r="C148" i="61"/>
  <c r="D147" i="61"/>
  <c r="C147" i="61"/>
  <c r="D146" i="61"/>
  <c r="C146" i="61"/>
  <c r="D145" i="61"/>
  <c r="C145" i="61"/>
  <c r="D144" i="61"/>
  <c r="C144" i="61"/>
  <c r="D143" i="61"/>
  <c r="C143" i="61"/>
  <c r="D142" i="61"/>
  <c r="C142" i="61"/>
  <c r="D141" i="61"/>
  <c r="C141" i="61"/>
  <c r="D140" i="61"/>
  <c r="C140" i="61"/>
  <c r="D139" i="61"/>
  <c r="C139" i="61"/>
  <c r="D138" i="61"/>
  <c r="C138" i="61"/>
  <c r="D137" i="61"/>
  <c r="C137" i="61"/>
  <c r="D136" i="61"/>
  <c r="C136" i="61"/>
  <c r="D135" i="61"/>
  <c r="C135" i="61"/>
  <c r="D134" i="61"/>
  <c r="C134" i="61"/>
  <c r="D133" i="61"/>
  <c r="C133" i="61"/>
  <c r="D132" i="61"/>
  <c r="C132" i="61"/>
  <c r="D131" i="61"/>
  <c r="C131" i="61"/>
  <c r="D130" i="61"/>
  <c r="C130" i="61"/>
  <c r="D129" i="61"/>
  <c r="C129" i="61"/>
  <c r="D128" i="61"/>
  <c r="C128" i="61"/>
  <c r="D127" i="61"/>
  <c r="C127" i="61"/>
  <c r="D126" i="61"/>
  <c r="C126" i="61"/>
  <c r="D125" i="61"/>
  <c r="C125" i="61"/>
  <c r="D124" i="61"/>
  <c r="C124" i="61"/>
  <c r="D123" i="61"/>
  <c r="C123" i="61"/>
  <c r="D122" i="61"/>
  <c r="C122" i="61"/>
  <c r="D121" i="61"/>
  <c r="C121" i="61"/>
  <c r="D120" i="61"/>
  <c r="C120" i="61"/>
  <c r="D119" i="61"/>
  <c r="C119" i="61"/>
  <c r="D118" i="61"/>
  <c r="C118" i="61"/>
  <c r="D117" i="61"/>
  <c r="C117" i="61"/>
  <c r="D116" i="61"/>
  <c r="C116" i="61"/>
  <c r="D115" i="61"/>
  <c r="C115" i="61"/>
  <c r="D114" i="61"/>
  <c r="C114" i="61"/>
  <c r="D113" i="61"/>
  <c r="C113" i="61"/>
  <c r="D112" i="61"/>
  <c r="C112" i="61"/>
  <c r="D111" i="61"/>
  <c r="C111" i="61"/>
  <c r="D110" i="61"/>
  <c r="C110" i="61"/>
  <c r="D109" i="61"/>
  <c r="C109" i="61"/>
  <c r="D108" i="61"/>
  <c r="C108" i="61"/>
  <c r="D107" i="61"/>
  <c r="C107" i="61"/>
  <c r="D106" i="61"/>
  <c r="C106" i="61"/>
  <c r="D105" i="61"/>
  <c r="C105" i="61"/>
  <c r="D104" i="61"/>
  <c r="C104" i="61"/>
  <c r="D103" i="61"/>
  <c r="C103" i="61"/>
  <c r="D102" i="61"/>
  <c r="C102" i="61"/>
  <c r="D101" i="61"/>
  <c r="C101" i="61"/>
  <c r="D100" i="61"/>
  <c r="C100" i="61"/>
  <c r="D99" i="61"/>
  <c r="C99" i="61"/>
  <c r="D98" i="61"/>
  <c r="C98" i="61"/>
  <c r="D97" i="61"/>
  <c r="C97" i="61"/>
  <c r="D96" i="61"/>
  <c r="C96" i="61"/>
  <c r="D95" i="61"/>
  <c r="C95" i="61"/>
  <c r="D94" i="61"/>
  <c r="C94" i="61"/>
  <c r="D93" i="61"/>
  <c r="C93" i="61"/>
  <c r="D92" i="61"/>
  <c r="C92" i="61"/>
  <c r="D91" i="61"/>
  <c r="C91" i="61"/>
  <c r="D90" i="61"/>
  <c r="C90" i="61"/>
  <c r="D89" i="61"/>
  <c r="C89" i="61"/>
  <c r="D88" i="61"/>
  <c r="C88" i="61"/>
  <c r="D87" i="61"/>
  <c r="C87" i="61"/>
  <c r="D86" i="61"/>
  <c r="C86" i="61"/>
  <c r="D85" i="61"/>
  <c r="C85" i="61"/>
  <c r="D84" i="61"/>
  <c r="C84" i="61"/>
  <c r="D83" i="61"/>
  <c r="C83" i="61"/>
  <c r="D82" i="61"/>
  <c r="C82" i="61"/>
  <c r="D81" i="61"/>
  <c r="C81" i="61"/>
  <c r="D80" i="61"/>
  <c r="C80" i="61"/>
  <c r="D79" i="61"/>
  <c r="C79" i="61"/>
  <c r="D78" i="61"/>
  <c r="C78" i="61"/>
  <c r="D77" i="61"/>
  <c r="C77" i="61"/>
  <c r="D76" i="61"/>
  <c r="C76" i="61"/>
  <c r="D75" i="61"/>
  <c r="C75" i="61"/>
  <c r="D74" i="61"/>
  <c r="C74" i="61"/>
  <c r="D73" i="61"/>
  <c r="C73" i="61"/>
  <c r="D72" i="61"/>
  <c r="C72" i="61"/>
  <c r="D71" i="61"/>
  <c r="C71" i="61"/>
  <c r="D70" i="61"/>
  <c r="C70" i="61"/>
  <c r="D69" i="61"/>
  <c r="C69" i="61"/>
  <c r="D68" i="61"/>
  <c r="C68" i="61"/>
  <c r="D67" i="61"/>
  <c r="C67" i="61"/>
  <c r="D66" i="61"/>
  <c r="C66" i="61"/>
  <c r="D65" i="61"/>
  <c r="C65" i="61"/>
  <c r="D64" i="61"/>
  <c r="C64" i="61"/>
  <c r="D63" i="61"/>
  <c r="C63" i="61"/>
  <c r="D62" i="61"/>
  <c r="C62" i="61"/>
  <c r="D61" i="61"/>
  <c r="C61" i="61"/>
  <c r="D60" i="61"/>
  <c r="C60" i="61"/>
  <c r="D59" i="61"/>
  <c r="C59" i="61"/>
  <c r="D58" i="61"/>
  <c r="C58" i="61"/>
  <c r="D57" i="61"/>
  <c r="C57" i="61"/>
  <c r="D56" i="61"/>
  <c r="C56" i="61"/>
  <c r="D55" i="61"/>
  <c r="C55" i="61"/>
  <c r="D54" i="61"/>
  <c r="C54" i="61"/>
  <c r="D53" i="61"/>
  <c r="C53" i="61"/>
  <c r="D52" i="61"/>
  <c r="C52" i="61"/>
  <c r="D51" i="61"/>
  <c r="C51" i="61"/>
  <c r="D50" i="61"/>
  <c r="C50" i="61"/>
  <c r="D49" i="61"/>
  <c r="C49" i="61"/>
  <c r="D48" i="61"/>
  <c r="C48" i="61"/>
  <c r="D47" i="61"/>
  <c r="C47" i="61"/>
  <c r="D46" i="61"/>
  <c r="C46" i="61"/>
  <c r="D45" i="61"/>
  <c r="C45" i="61"/>
  <c r="D44" i="61"/>
  <c r="C44" i="61"/>
  <c r="D43" i="61"/>
  <c r="C43" i="61"/>
  <c r="D42" i="61"/>
  <c r="C42" i="61"/>
  <c r="D41" i="61"/>
  <c r="C41" i="61"/>
  <c r="D40" i="61"/>
  <c r="C40" i="61"/>
  <c r="D39" i="61"/>
  <c r="C39" i="61"/>
  <c r="D38" i="61"/>
  <c r="C38" i="61"/>
  <c r="D37" i="61"/>
  <c r="C37" i="61"/>
  <c r="D36" i="61"/>
  <c r="C36" i="61"/>
  <c r="D35" i="61"/>
  <c r="C35" i="61"/>
  <c r="D34" i="61"/>
  <c r="C34" i="61"/>
  <c r="D33" i="61"/>
  <c r="C33" i="61"/>
  <c r="D32" i="61"/>
  <c r="C32" i="61"/>
  <c r="D31" i="61"/>
  <c r="C31" i="61"/>
  <c r="D30" i="61"/>
  <c r="C30" i="61"/>
  <c r="D29" i="61"/>
  <c r="C29" i="61"/>
  <c r="D28" i="61"/>
  <c r="C28" i="61"/>
  <c r="D27" i="61"/>
  <c r="C27" i="61"/>
  <c r="D26" i="61"/>
  <c r="C26" i="61"/>
  <c r="D25" i="61"/>
  <c r="C25" i="61"/>
  <c r="D24" i="61"/>
  <c r="C24" i="61"/>
  <c r="D23" i="61"/>
  <c r="C23" i="61"/>
  <c r="D22" i="61"/>
  <c r="C22" i="61"/>
  <c r="D21" i="61"/>
  <c r="C21" i="61"/>
  <c r="D20" i="61"/>
  <c r="C20" i="61"/>
  <c r="D19" i="61"/>
  <c r="C19" i="61"/>
  <c r="D18" i="61"/>
  <c r="C18" i="61"/>
  <c r="D17" i="61"/>
  <c r="C17" i="61"/>
  <c r="D16" i="61"/>
  <c r="C16" i="61"/>
  <c r="D15" i="61"/>
  <c r="C15" i="61"/>
  <c r="D14" i="61"/>
  <c r="C14" i="61"/>
  <c r="D13" i="61"/>
  <c r="C13" i="61"/>
  <c r="D12" i="61"/>
  <c r="C12" i="61"/>
  <c r="D11" i="61"/>
  <c r="C11" i="61"/>
  <c r="D10" i="61"/>
  <c r="C10" i="61"/>
  <c r="D9" i="61"/>
  <c r="C9" i="61"/>
  <c r="D8" i="61"/>
  <c r="C8" i="61"/>
  <c r="D7" i="61"/>
  <c r="C7" i="61"/>
  <c r="D6" i="61"/>
  <c r="C6" i="61"/>
  <c r="D5" i="61"/>
  <c r="C5" i="61"/>
  <c r="D4" i="61"/>
  <c r="C4" i="61"/>
  <c r="D3" i="61"/>
  <c r="C3" i="61"/>
  <c r="D2" i="61"/>
  <c r="C2" i="61"/>
  <c r="K178" i="61"/>
  <c r="L178" i="61" s="1"/>
  <c r="M178" i="61" s="1"/>
  <c r="K177" i="61"/>
  <c r="L177" i="61" s="1"/>
  <c r="M177" i="61" s="1"/>
  <c r="K176" i="61"/>
  <c r="K175" i="61"/>
  <c r="L175" i="61" s="1"/>
  <c r="M175" i="61" s="1"/>
  <c r="K174" i="61"/>
  <c r="L174" i="61" s="1"/>
  <c r="M174" i="61" s="1"/>
  <c r="K173" i="61"/>
  <c r="L173" i="61" s="1"/>
  <c r="M173" i="61" s="1"/>
  <c r="K172" i="61"/>
  <c r="L172" i="61" s="1"/>
  <c r="M172" i="61" s="1"/>
  <c r="K171" i="61"/>
  <c r="L171" i="61" s="1"/>
  <c r="M171" i="61" s="1"/>
  <c r="K168" i="61"/>
  <c r="L168" i="61" s="1"/>
  <c r="M168" i="61" s="1"/>
  <c r="K166" i="61"/>
  <c r="L166" i="61" s="1"/>
  <c r="M166" i="61" s="1"/>
  <c r="K165" i="61"/>
  <c r="L165" i="61" s="1"/>
  <c r="M165" i="61" s="1"/>
  <c r="K163" i="61"/>
  <c r="L163" i="61" s="1"/>
  <c r="M163" i="61" s="1"/>
  <c r="K162" i="61"/>
  <c r="L162" i="61" s="1"/>
  <c r="M162" i="61" s="1"/>
  <c r="K160" i="61"/>
  <c r="L160" i="61" s="1"/>
  <c r="M160" i="61" s="1"/>
  <c r="K159" i="61"/>
  <c r="L159" i="61" s="1"/>
  <c r="M159" i="61" s="1"/>
  <c r="K158" i="61"/>
  <c r="L158" i="61" s="1"/>
  <c r="M158" i="61" s="1"/>
  <c r="K157" i="61"/>
  <c r="L157" i="61" s="1"/>
  <c r="M157" i="61" s="1"/>
  <c r="K155" i="61"/>
  <c r="L155" i="61" s="1"/>
  <c r="M155" i="61" s="1"/>
  <c r="K154" i="61"/>
  <c r="L154" i="61" s="1"/>
  <c r="M154" i="61" s="1"/>
  <c r="K153" i="61"/>
  <c r="L153" i="61" s="1"/>
  <c r="M153" i="61" s="1"/>
  <c r="K152" i="61"/>
  <c r="L152" i="61" s="1"/>
  <c r="M152" i="61" s="1"/>
  <c r="K151" i="61"/>
  <c r="L151" i="61" s="1"/>
  <c r="M151" i="61" s="1"/>
  <c r="K150" i="61"/>
  <c r="L150" i="61" s="1"/>
  <c r="M150" i="61" s="1"/>
  <c r="K147" i="61"/>
  <c r="L147" i="61" s="1"/>
  <c r="M147" i="61" s="1"/>
  <c r="K146" i="61"/>
  <c r="L146" i="61" s="1"/>
  <c r="M146" i="61" s="1"/>
  <c r="K144" i="61"/>
  <c r="L144" i="61" s="1"/>
  <c r="M144" i="61" s="1"/>
  <c r="K143" i="61"/>
  <c r="L143" i="61" s="1"/>
  <c r="M143" i="61" s="1"/>
  <c r="K141" i="61"/>
  <c r="L141" i="61" s="1"/>
  <c r="M141" i="61" s="1"/>
  <c r="K140" i="61"/>
  <c r="L140" i="61" s="1"/>
  <c r="M140" i="61" s="1"/>
  <c r="K138" i="61"/>
  <c r="L138" i="61" s="1"/>
  <c r="M138" i="61" s="1"/>
  <c r="K137" i="61"/>
  <c r="L137" i="61" s="1"/>
  <c r="M137" i="61" s="1"/>
  <c r="K136" i="61"/>
  <c r="L136" i="61" s="1"/>
  <c r="M136" i="61" s="1"/>
  <c r="K133" i="61"/>
  <c r="L133" i="61" s="1"/>
  <c r="M133" i="61" s="1"/>
  <c r="K132" i="61"/>
  <c r="L132" i="61" s="1"/>
  <c r="M132" i="61" s="1"/>
  <c r="K131" i="61"/>
  <c r="L131" i="61" s="1"/>
  <c r="M131" i="61" s="1"/>
  <c r="K130" i="61"/>
  <c r="L130" i="61" s="1"/>
  <c r="M130" i="61" s="1"/>
  <c r="K127" i="61"/>
  <c r="L127" i="61" s="1"/>
  <c r="M127" i="61" s="1"/>
  <c r="K126" i="61"/>
  <c r="L126" i="61" s="1"/>
  <c r="M126" i="61" s="1"/>
  <c r="K125" i="61"/>
  <c r="L125" i="61" s="1"/>
  <c r="M125" i="61" s="1"/>
  <c r="K122" i="61"/>
  <c r="L122" i="61" s="1"/>
  <c r="M122" i="61" s="1"/>
  <c r="K121" i="61"/>
  <c r="L121" i="61" s="1"/>
  <c r="M121" i="61" s="1"/>
  <c r="K120" i="61"/>
  <c r="L120" i="61" s="1"/>
  <c r="M120" i="61" s="1"/>
  <c r="K119" i="61"/>
  <c r="L119" i="61" s="1"/>
  <c r="M119" i="61" s="1"/>
  <c r="K117" i="61"/>
  <c r="L117" i="61" s="1"/>
  <c r="M117" i="61" s="1"/>
  <c r="K115" i="61"/>
  <c r="L115" i="61" s="1"/>
  <c r="M115" i="61" s="1"/>
  <c r="K113" i="61"/>
  <c r="L113" i="61" s="1"/>
  <c r="M113" i="61" s="1"/>
  <c r="K112" i="61"/>
  <c r="L112" i="61" s="1"/>
  <c r="M112" i="61" s="1"/>
  <c r="K111" i="61"/>
  <c r="L111" i="61" s="1"/>
  <c r="M111" i="61" s="1"/>
  <c r="K110" i="61"/>
  <c r="L110" i="61" s="1"/>
  <c r="M110" i="61" s="1"/>
  <c r="K109" i="61"/>
  <c r="L109" i="61" s="1"/>
  <c r="M109" i="61" s="1"/>
  <c r="K107" i="61"/>
  <c r="L107" i="61" s="1"/>
  <c r="M107" i="61" s="1"/>
  <c r="K106" i="61"/>
  <c r="L106" i="61" s="1"/>
  <c r="M106" i="61" s="1"/>
  <c r="K105" i="61"/>
  <c r="L105" i="61" s="1"/>
  <c r="M105" i="61" s="1"/>
  <c r="K104" i="61"/>
  <c r="L104" i="61" s="1"/>
  <c r="M104" i="61" s="1"/>
  <c r="K103" i="61"/>
  <c r="L103" i="61" s="1"/>
  <c r="M103" i="61" s="1"/>
  <c r="K102" i="61"/>
  <c r="L102" i="61" s="1"/>
  <c r="M102" i="61" s="1"/>
  <c r="K101" i="61"/>
  <c r="L101" i="61" s="1"/>
  <c r="M101" i="61" s="1"/>
  <c r="K100" i="61"/>
  <c r="L100" i="61" s="1"/>
  <c r="M100" i="61" s="1"/>
  <c r="K96" i="61"/>
  <c r="L96" i="61" s="1"/>
  <c r="M96" i="61" s="1"/>
  <c r="K95" i="61"/>
  <c r="L95" i="61" s="1"/>
  <c r="M95" i="61" s="1"/>
  <c r="K94" i="61"/>
  <c r="L94" i="61" s="1"/>
  <c r="M94" i="61" s="1"/>
  <c r="K93" i="61"/>
  <c r="L93" i="61" s="1"/>
  <c r="M93" i="61" s="1"/>
  <c r="K92" i="61"/>
  <c r="L92" i="61" s="1"/>
  <c r="M92" i="61" s="1"/>
  <c r="K90" i="61"/>
  <c r="L90" i="61" s="1"/>
  <c r="M90" i="61" s="1"/>
  <c r="K89" i="61"/>
  <c r="L89" i="61" s="1"/>
  <c r="M89" i="61" s="1"/>
  <c r="K88" i="61"/>
  <c r="L88" i="61" s="1"/>
  <c r="M88" i="61" s="1"/>
  <c r="K86" i="61"/>
  <c r="L86" i="61" s="1"/>
  <c r="M86" i="61" s="1"/>
  <c r="K85" i="61"/>
  <c r="L85" i="61" s="1"/>
  <c r="M85" i="61" s="1"/>
  <c r="K84" i="61"/>
  <c r="L84" i="61" s="1"/>
  <c r="M84" i="61" s="1"/>
  <c r="K83" i="61"/>
  <c r="L83" i="61" s="1"/>
  <c r="M83" i="61" s="1"/>
  <c r="K80" i="61"/>
  <c r="L80" i="61" s="1"/>
  <c r="M80" i="61" s="1"/>
  <c r="K79" i="61"/>
  <c r="L79" i="61" s="1"/>
  <c r="M79" i="61" s="1"/>
  <c r="K78" i="61"/>
  <c r="L78" i="61" s="1"/>
  <c r="M78" i="61" s="1"/>
  <c r="K76" i="61"/>
  <c r="L76" i="61" s="1"/>
  <c r="M76" i="61" s="1"/>
  <c r="K75" i="61"/>
  <c r="L75" i="61" s="1"/>
  <c r="M75" i="61" s="1"/>
  <c r="K74" i="61"/>
  <c r="L74" i="61" s="1"/>
  <c r="M74" i="61" s="1"/>
  <c r="K73" i="61"/>
  <c r="L73" i="61" s="1"/>
  <c r="M73" i="61" s="1"/>
  <c r="K72" i="61"/>
  <c r="L72" i="61" s="1"/>
  <c r="M72" i="61" s="1"/>
  <c r="K71" i="61"/>
  <c r="L71" i="61" s="1"/>
  <c r="M71" i="61" s="1"/>
  <c r="K70" i="61"/>
  <c r="L70" i="61" s="1"/>
  <c r="M70" i="61" s="1"/>
  <c r="K69" i="61"/>
  <c r="L69" i="61" s="1"/>
  <c r="M69" i="61" s="1"/>
  <c r="K67" i="61"/>
  <c r="L67" i="61" s="1"/>
  <c r="M67" i="61" s="1"/>
  <c r="K66" i="61"/>
  <c r="L66" i="61" s="1"/>
  <c r="M66" i="61" s="1"/>
  <c r="K65" i="61"/>
  <c r="L65" i="61" s="1"/>
  <c r="M65" i="61" s="1"/>
  <c r="K64" i="61"/>
  <c r="L64" i="61" s="1"/>
  <c r="M64" i="61" s="1"/>
  <c r="K62" i="61"/>
  <c r="L62" i="61" s="1"/>
  <c r="M62" i="61" s="1"/>
  <c r="K61" i="61"/>
  <c r="L61" i="61" s="1"/>
  <c r="M61" i="61" s="1"/>
  <c r="K60" i="61"/>
  <c r="L60" i="61" s="1"/>
  <c r="M60" i="61" s="1"/>
  <c r="K58" i="61"/>
  <c r="L58" i="61" s="1"/>
  <c r="M58" i="61" s="1"/>
  <c r="K57" i="61"/>
  <c r="L57" i="61" s="1"/>
  <c r="M57" i="61" s="1"/>
  <c r="K56" i="61"/>
  <c r="L56" i="61" s="1"/>
  <c r="M56" i="61" s="1"/>
  <c r="K55" i="61"/>
  <c r="L55" i="61" s="1"/>
  <c r="M55" i="61" s="1"/>
  <c r="K54" i="61"/>
  <c r="L54" i="61" s="1"/>
  <c r="M54" i="61" s="1"/>
  <c r="K53" i="61"/>
  <c r="L53" i="61" s="1"/>
  <c r="M53" i="61" s="1"/>
  <c r="K52" i="61"/>
  <c r="L52" i="61" s="1"/>
  <c r="M52" i="61" s="1"/>
  <c r="K51" i="61"/>
  <c r="L51" i="61" s="1"/>
  <c r="M51" i="61" s="1"/>
  <c r="K49" i="61"/>
  <c r="L49" i="61" s="1"/>
  <c r="M49" i="61" s="1"/>
  <c r="K48" i="61"/>
  <c r="L48" i="61" s="1"/>
  <c r="M48" i="61" s="1"/>
  <c r="K47" i="61"/>
  <c r="L47" i="61" s="1"/>
  <c r="M47" i="61" s="1"/>
  <c r="K46" i="61"/>
  <c r="L46" i="61" s="1"/>
  <c r="M46" i="61" s="1"/>
  <c r="K45" i="61"/>
  <c r="L45" i="61" s="1"/>
  <c r="M45" i="61" s="1"/>
  <c r="K44" i="61"/>
  <c r="L44" i="61" s="1"/>
  <c r="M44" i="61" s="1"/>
  <c r="K41" i="61"/>
  <c r="L41" i="61" s="1"/>
  <c r="M41" i="61" s="1"/>
  <c r="K40" i="61"/>
  <c r="L40" i="61" s="1"/>
  <c r="M40" i="61" s="1"/>
  <c r="K39" i="61"/>
  <c r="L39" i="61" s="1"/>
  <c r="M39" i="61" s="1"/>
  <c r="K38" i="61"/>
  <c r="L38" i="61" s="1"/>
  <c r="M38" i="61" s="1"/>
  <c r="K37" i="61"/>
  <c r="L37" i="61" s="1"/>
  <c r="M37" i="61" s="1"/>
  <c r="K36" i="61"/>
  <c r="L36" i="61" s="1"/>
  <c r="M36" i="61" s="1"/>
  <c r="K35" i="61"/>
  <c r="L35" i="61" s="1"/>
  <c r="M35" i="61" s="1"/>
  <c r="K33" i="61"/>
  <c r="L33" i="61" s="1"/>
  <c r="M33" i="61" s="1"/>
  <c r="K32" i="61"/>
  <c r="L32" i="61" s="1"/>
  <c r="M32" i="61" s="1"/>
  <c r="K30" i="61"/>
  <c r="L30" i="61" s="1"/>
  <c r="M30" i="61" s="1"/>
  <c r="K28" i="61"/>
  <c r="L28" i="61" s="1"/>
  <c r="M28" i="61" s="1"/>
  <c r="K27" i="61"/>
  <c r="L27" i="61" s="1"/>
  <c r="M27" i="61" s="1"/>
  <c r="K26" i="61"/>
  <c r="L26" i="61" s="1"/>
  <c r="M26" i="61" s="1"/>
  <c r="K25" i="61"/>
  <c r="L25" i="61" s="1"/>
  <c r="M25" i="61" s="1"/>
  <c r="K21" i="61"/>
  <c r="L21" i="61" s="1"/>
  <c r="M21" i="61" s="1"/>
  <c r="K20" i="61"/>
  <c r="L20" i="61" s="1"/>
  <c r="M20" i="61" s="1"/>
  <c r="K18" i="61"/>
  <c r="L18" i="61" s="1"/>
  <c r="M18" i="61" s="1"/>
  <c r="K17" i="61"/>
  <c r="L17" i="61" s="1"/>
  <c r="M17" i="61" s="1"/>
  <c r="K16" i="61"/>
  <c r="L16" i="61" s="1"/>
  <c r="M16" i="61" s="1"/>
  <c r="K15" i="61"/>
  <c r="L15" i="61" s="1"/>
  <c r="M15" i="61" s="1"/>
  <c r="K14" i="61"/>
  <c r="L14" i="61" s="1"/>
  <c r="M14" i="61" s="1"/>
  <c r="K13" i="61"/>
  <c r="L13" i="61" s="1"/>
  <c r="M13" i="61" s="1"/>
  <c r="K11" i="61"/>
  <c r="L11" i="61" s="1"/>
  <c r="M11" i="61" s="1"/>
  <c r="K9" i="61"/>
  <c r="L9" i="61" s="1"/>
  <c r="M9" i="61" s="1"/>
  <c r="K8" i="61"/>
  <c r="L8" i="61" s="1"/>
  <c r="M8" i="61" s="1"/>
  <c r="K7" i="61"/>
  <c r="L7" i="61" s="1"/>
  <c r="M7" i="61" s="1"/>
  <c r="K4" i="61"/>
  <c r="L4" i="61" s="1"/>
  <c r="M4" i="61" s="1"/>
  <c r="K3" i="61"/>
  <c r="L3" i="61" s="1"/>
  <c r="M3" i="61" s="1"/>
  <c r="L176" i="61"/>
  <c r="M176" i="61" s="1"/>
  <c r="B147" i="2"/>
  <c r="B149" i="2" s="1"/>
  <c r="B146" i="2"/>
  <c r="K31" i="61" l="1"/>
  <c r="E255" i="24"/>
  <c r="F255" i="24"/>
  <c r="Z19" i="19"/>
  <c r="Z15" i="19"/>
  <c r="Z36" i="19"/>
  <c r="M29" i="19"/>
  <c r="V29" i="19" s="1"/>
  <c r="M27" i="19"/>
  <c r="V27" i="19" s="1"/>
  <c r="M28" i="19"/>
  <c r="V28" i="19" s="1"/>
  <c r="B391" i="2"/>
  <c r="B478" i="2" s="1"/>
  <c r="M37" i="19"/>
  <c r="V37" i="19" s="1"/>
  <c r="Z18" i="19"/>
  <c r="Z11" i="19"/>
  <c r="B235" i="2"/>
  <c r="M13" i="19"/>
  <c r="V13" i="19" s="1"/>
  <c r="M12" i="19"/>
  <c r="V12" i="19" s="1"/>
  <c r="B341" i="2"/>
  <c r="B474" i="2" s="1"/>
  <c r="B234" i="2"/>
  <c r="B457" i="2" s="1"/>
  <c r="K170" i="61"/>
  <c r="L170" i="61" s="1"/>
  <c r="M170" i="61" s="1"/>
  <c r="K5" i="61"/>
  <c r="L5" i="61" s="1"/>
  <c r="M5" i="61" s="1"/>
  <c r="K145" i="61"/>
  <c r="L145" i="61" s="1"/>
  <c r="M145" i="61" s="1"/>
  <c r="K10" i="61"/>
  <c r="L10" i="61" s="1"/>
  <c r="M10" i="61" s="1"/>
  <c r="K34" i="61"/>
  <c r="L34" i="61" s="1"/>
  <c r="M34" i="61" s="1"/>
  <c r="K99" i="61"/>
  <c r="L99" i="61" s="1"/>
  <c r="M99" i="61" s="1"/>
  <c r="K19" i="61"/>
  <c r="L19" i="61" s="1"/>
  <c r="M19" i="61" s="1"/>
  <c r="K139" i="61"/>
  <c r="L139" i="61" s="1"/>
  <c r="M139" i="61" s="1"/>
  <c r="K167" i="61"/>
  <c r="L167" i="61" s="1"/>
  <c r="M167" i="61" s="1"/>
  <c r="K124" i="61"/>
  <c r="L124" i="61" s="1"/>
  <c r="M124" i="61" s="1"/>
  <c r="K108" i="61"/>
  <c r="L108" i="61" s="1"/>
  <c r="M108" i="61" s="1"/>
  <c r="K161" i="61"/>
  <c r="L161" i="61" s="1"/>
  <c r="M161" i="61" s="1"/>
  <c r="K12" i="61"/>
  <c r="L12" i="61" s="1"/>
  <c r="M12" i="61" s="1"/>
  <c r="K42" i="61"/>
  <c r="L42" i="61" s="1"/>
  <c r="M42" i="61" s="1"/>
  <c r="K22" i="61"/>
  <c r="L22" i="61" s="1"/>
  <c r="M22" i="61" s="1"/>
  <c r="K2" i="61"/>
  <c r="L2" i="61" s="1"/>
  <c r="M2" i="61" s="1"/>
  <c r="K59" i="61"/>
  <c r="L59" i="61" s="1"/>
  <c r="M59" i="61" s="1"/>
  <c r="K91" i="61"/>
  <c r="L91" i="61" s="1"/>
  <c r="M91" i="61" s="1"/>
  <c r="K118" i="61"/>
  <c r="L118" i="61" s="1"/>
  <c r="M118" i="61" s="1"/>
  <c r="K29" i="61"/>
  <c r="L29" i="61" s="1"/>
  <c r="M29" i="61" s="1"/>
  <c r="K6" i="61"/>
  <c r="L6" i="61" s="1"/>
  <c r="M6" i="61" s="1"/>
  <c r="K43" i="61"/>
  <c r="L43" i="61" s="1"/>
  <c r="M43" i="61" s="1"/>
  <c r="K81" i="61"/>
  <c r="L81" i="61" s="1"/>
  <c r="M81" i="61" s="1"/>
  <c r="K98" i="61"/>
  <c r="L98" i="61" s="1"/>
  <c r="M98" i="61" s="1"/>
  <c r="K24" i="61"/>
  <c r="L24" i="61" s="1"/>
  <c r="M24" i="61" s="1"/>
  <c r="K77" i="61"/>
  <c r="L77" i="61" s="1"/>
  <c r="M77" i="61" s="1"/>
  <c r="K97" i="61"/>
  <c r="L97" i="61" s="1"/>
  <c r="M97" i="61" s="1"/>
  <c r="K123" i="61"/>
  <c r="L123" i="61" s="1"/>
  <c r="M123" i="61" s="1"/>
  <c r="K164" i="61"/>
  <c r="L164" i="61" s="1"/>
  <c r="M164" i="61" s="1"/>
  <c r="K63" i="61"/>
  <c r="L63" i="61" s="1"/>
  <c r="M63" i="61" s="1"/>
  <c r="K68" i="61"/>
  <c r="L68" i="61" s="1"/>
  <c r="M68" i="61" s="1"/>
  <c r="K82" i="61"/>
  <c r="L82" i="61" s="1"/>
  <c r="M82" i="61" s="1"/>
  <c r="K87" i="61"/>
  <c r="L87" i="61" s="1"/>
  <c r="M87" i="61" s="1"/>
  <c r="K114" i="61"/>
  <c r="L114" i="61" s="1"/>
  <c r="M114" i="61" s="1"/>
  <c r="K128" i="61"/>
  <c r="L128" i="61" s="1"/>
  <c r="M128" i="61" s="1"/>
  <c r="K134" i="61"/>
  <c r="L134" i="61" s="1"/>
  <c r="M134" i="61" s="1"/>
  <c r="K148" i="61"/>
  <c r="L148" i="61" s="1"/>
  <c r="M148" i="61" s="1"/>
  <c r="K156" i="61"/>
  <c r="L156" i="61" s="1"/>
  <c r="M156" i="61" s="1"/>
  <c r="K169" i="61"/>
  <c r="L169" i="61" s="1"/>
  <c r="M169" i="61" s="1"/>
  <c r="K50" i="61"/>
  <c r="L50" i="61" s="1"/>
  <c r="M50" i="61" s="1"/>
  <c r="K135" i="61"/>
  <c r="L135" i="61" s="1"/>
  <c r="M135" i="61" s="1"/>
  <c r="K142" i="61"/>
  <c r="L142" i="61" s="1"/>
  <c r="M142" i="61" s="1"/>
  <c r="K149" i="61"/>
  <c r="L149" i="61" s="1"/>
  <c r="M149" i="61" s="1"/>
  <c r="K23" i="61"/>
  <c r="L23" i="61" s="1"/>
  <c r="M23" i="61" s="1"/>
  <c r="L31" i="61"/>
  <c r="M31" i="61" s="1"/>
  <c r="K116" i="61"/>
  <c r="L116" i="61" s="1"/>
  <c r="M116" i="61" s="1"/>
  <c r="K129" i="61"/>
  <c r="L129" i="61" s="1"/>
  <c r="M129" i="61" s="1"/>
  <c r="AQ2" i="57"/>
  <c r="AQ3" i="57"/>
  <c r="AQ4" i="57"/>
  <c r="AQ5" i="57"/>
  <c r="AQ6" i="57"/>
  <c r="AQ7" i="57"/>
  <c r="AQ8" i="57"/>
  <c r="AQ9" i="57"/>
  <c r="AQ10" i="57"/>
  <c r="AQ11" i="57"/>
  <c r="AQ12" i="57"/>
  <c r="AQ13" i="57"/>
  <c r="AQ14" i="57"/>
  <c r="AQ15" i="57"/>
  <c r="AQ16" i="57"/>
  <c r="Z27" i="19" l="1"/>
  <c r="Z29" i="19"/>
  <c r="Z37" i="19"/>
  <c r="Z12" i="19"/>
  <c r="B57" i="2"/>
  <c r="B41" i="2" l="1"/>
  <c r="B47" i="2"/>
  <c r="AM2" i="57"/>
  <c r="AM3" i="57"/>
  <c r="AM4" i="57"/>
  <c r="AM5" i="57"/>
  <c r="AM6" i="57"/>
  <c r="AM7" i="57"/>
  <c r="AM8" i="57"/>
  <c r="AM9" i="57"/>
  <c r="AM10" i="57"/>
  <c r="AM11" i="57"/>
  <c r="AM12" i="57"/>
  <c r="AM13" i="57"/>
  <c r="AM14" i="57"/>
  <c r="AM15" i="57"/>
  <c r="AM16" i="57"/>
  <c r="C175" i="56"/>
  <c r="C174" i="56"/>
  <c r="C172" i="56"/>
  <c r="C171" i="56"/>
  <c r="C170" i="56"/>
  <c r="C169" i="56"/>
  <c r="C168" i="56"/>
  <c r="C167" i="56"/>
  <c r="C166" i="56"/>
  <c r="C164" i="56"/>
  <c r="C163" i="56"/>
  <c r="C161" i="56"/>
  <c r="C160" i="56"/>
  <c r="C159" i="56"/>
  <c r="C158" i="56"/>
  <c r="C157" i="56"/>
  <c r="C155" i="56"/>
  <c r="C154" i="56"/>
  <c r="C153" i="56"/>
  <c r="C152" i="56"/>
  <c r="C151" i="56"/>
  <c r="C150" i="56"/>
  <c r="C149" i="56"/>
  <c r="C147" i="56"/>
  <c r="C145" i="56"/>
  <c r="C144" i="56"/>
  <c r="C143" i="56"/>
  <c r="C142" i="56"/>
  <c r="C141" i="56"/>
  <c r="C140" i="56"/>
  <c r="C139" i="56"/>
  <c r="C138" i="56"/>
  <c r="C137" i="56"/>
  <c r="C135" i="56"/>
  <c r="C134" i="56"/>
  <c r="C133" i="56"/>
  <c r="C131" i="56"/>
  <c r="C130" i="56"/>
  <c r="C129" i="56"/>
  <c r="C128" i="56"/>
  <c r="C127" i="56"/>
  <c r="C125" i="56"/>
  <c r="C124" i="56"/>
  <c r="C121" i="56"/>
  <c r="C120" i="56"/>
  <c r="C119" i="56"/>
  <c r="C132" i="56"/>
  <c r="C116" i="56"/>
  <c r="C115" i="56"/>
  <c r="B175" i="24"/>
  <c r="B174" i="24"/>
  <c r="B193" i="24"/>
  <c r="B192" i="24"/>
  <c r="B191" i="24"/>
  <c r="B190" i="24"/>
  <c r="B189" i="24"/>
  <c r="B188" i="24"/>
  <c r="B187" i="24"/>
  <c r="B135" i="24"/>
  <c r="B134" i="24"/>
  <c r="B133" i="24"/>
  <c r="B132" i="24"/>
  <c r="B131" i="24"/>
  <c r="B130" i="24"/>
  <c r="AP3" i="57" l="1"/>
  <c r="AP11" i="57"/>
  <c r="AP4" i="57"/>
  <c r="AP12" i="57"/>
  <c r="AP5" i="57"/>
  <c r="AP13" i="57"/>
  <c r="AP6" i="57"/>
  <c r="AP14" i="57"/>
  <c r="AP7" i="57"/>
  <c r="AP15" i="57"/>
  <c r="AP8" i="57"/>
  <c r="AP16" i="57"/>
  <c r="AP2" i="57"/>
  <c r="AP9" i="57"/>
  <c r="AP10" i="57"/>
  <c r="AT6" i="57"/>
  <c r="AR4" i="57"/>
  <c r="AR3" i="57"/>
  <c r="AR2" i="57"/>
  <c r="AT8" i="57"/>
  <c r="AT7" i="57"/>
  <c r="AT5" i="57"/>
  <c r="AT2" i="57"/>
  <c r="AT16" i="57"/>
  <c r="AT15" i="57"/>
  <c r="AT13" i="57"/>
  <c r="AT10" i="57"/>
  <c r="AT12" i="57"/>
  <c r="AT4" i="57"/>
  <c r="AT11" i="57"/>
  <c r="AT3" i="57"/>
  <c r="AT9" i="57"/>
  <c r="AT14" i="57"/>
  <c r="AR9" i="57"/>
  <c r="AR16" i="57"/>
  <c r="AR8" i="57"/>
  <c r="AR15" i="57"/>
  <c r="AR7" i="57"/>
  <c r="AR14" i="57"/>
  <c r="AR6" i="57"/>
  <c r="AR13" i="57"/>
  <c r="AR5" i="57"/>
  <c r="AR11" i="57"/>
  <c r="AR10" i="57"/>
  <c r="AR12" i="57"/>
  <c r="B85" i="24"/>
  <c r="B84" i="24"/>
  <c r="B88" i="24" s="1"/>
  <c r="B87" i="24" l="1"/>
  <c r="B173" i="24" l="1"/>
  <c r="B172" i="24"/>
  <c r="B171" i="24"/>
  <c r="B170" i="24"/>
  <c r="B169" i="24"/>
  <c r="B168" i="24"/>
  <c r="B167" i="24"/>
  <c r="B166" i="24"/>
  <c r="B165" i="24"/>
  <c r="B42" i="24"/>
  <c r="AL2" i="57"/>
  <c r="AL3" i="57"/>
  <c r="AL4" i="57"/>
  <c r="AL5" i="57"/>
  <c r="AL6" i="57"/>
  <c r="AL7" i="57"/>
  <c r="AL8" i="57"/>
  <c r="AL9" i="57"/>
  <c r="AL10" i="57"/>
  <c r="AL11" i="57"/>
  <c r="AL12" i="57"/>
  <c r="AL13" i="57"/>
  <c r="AL14" i="57"/>
  <c r="AL15" i="57"/>
  <c r="AL16" i="57"/>
  <c r="AU2" i="57"/>
  <c r="AU3" i="57"/>
  <c r="AU4" i="57"/>
  <c r="AU5" i="57"/>
  <c r="AU6" i="57"/>
  <c r="AU7" i="57"/>
  <c r="AU8" i="57"/>
  <c r="AU9" i="57"/>
  <c r="AU10" i="57"/>
  <c r="AU11" i="57"/>
  <c r="AU12" i="57"/>
  <c r="AU13" i="57"/>
  <c r="AU14" i="57"/>
  <c r="AU15" i="57"/>
  <c r="AU16" i="57"/>
  <c r="AV2" i="57"/>
  <c r="AV3" i="57"/>
  <c r="AV4" i="57"/>
  <c r="AV5" i="57"/>
  <c r="AV6" i="57"/>
  <c r="AV7" i="57"/>
  <c r="AV8" i="57"/>
  <c r="AV9" i="57"/>
  <c r="AV10" i="57"/>
  <c r="AV11" i="57"/>
  <c r="AV12" i="57"/>
  <c r="AV13" i="57"/>
  <c r="AV14" i="57"/>
  <c r="AV15" i="57"/>
  <c r="AV16" i="57"/>
  <c r="E210" i="21" l="1"/>
  <c r="Y210" i="21" s="1"/>
  <c r="AB210" i="21" s="1"/>
  <c r="E73" i="21"/>
  <c r="Y160" i="21"/>
  <c r="AB160" i="21" s="1"/>
  <c r="E201" i="21"/>
  <c r="U201" i="21" s="1"/>
  <c r="Y219" i="21"/>
  <c r="AB219" i="21" s="1"/>
  <c r="X219" i="21"/>
  <c r="W219" i="21"/>
  <c r="AA219" i="21" s="1"/>
  <c r="V219" i="21"/>
  <c r="U219" i="21"/>
  <c r="Y218" i="21"/>
  <c r="AB218" i="21" s="1"/>
  <c r="X218" i="21"/>
  <c r="W218" i="21"/>
  <c r="AA218" i="21" s="1"/>
  <c r="V218" i="21"/>
  <c r="U218" i="21"/>
  <c r="Y217" i="21"/>
  <c r="AB217" i="21" s="1"/>
  <c r="X217" i="21"/>
  <c r="W217" i="21"/>
  <c r="AA217" i="21" s="1"/>
  <c r="V217" i="21"/>
  <c r="U217" i="21"/>
  <c r="Y216" i="21"/>
  <c r="AB216" i="21" s="1"/>
  <c r="X216" i="21"/>
  <c r="W216" i="21"/>
  <c r="AA216" i="21" s="1"/>
  <c r="V216" i="21"/>
  <c r="U216" i="21"/>
  <c r="Y215" i="21"/>
  <c r="AB215" i="21" s="1"/>
  <c r="X215" i="21"/>
  <c r="W215" i="21"/>
  <c r="AA215" i="21" s="1"/>
  <c r="V215" i="21"/>
  <c r="U215" i="21"/>
  <c r="Y214" i="21"/>
  <c r="AB214" i="21" s="1"/>
  <c r="X214" i="21"/>
  <c r="W214" i="21"/>
  <c r="AA214" i="21" s="1"/>
  <c r="V214" i="21"/>
  <c r="U214" i="21"/>
  <c r="Y213" i="21"/>
  <c r="AB213" i="21" s="1"/>
  <c r="X213" i="21"/>
  <c r="W213" i="21"/>
  <c r="AA213" i="21" s="1"/>
  <c r="V213" i="21"/>
  <c r="U213" i="21"/>
  <c r="Y212" i="21"/>
  <c r="AB212" i="21" s="1"/>
  <c r="X212" i="21"/>
  <c r="W212" i="21"/>
  <c r="AA212" i="21" s="1"/>
  <c r="V212" i="21"/>
  <c r="U212" i="21"/>
  <c r="Y211" i="21"/>
  <c r="AB211" i="21" s="1"/>
  <c r="X211" i="21"/>
  <c r="W211" i="21"/>
  <c r="AA211" i="21" s="1"/>
  <c r="V211" i="21"/>
  <c r="U211" i="21"/>
  <c r="V210" i="21"/>
  <c r="Y209" i="21"/>
  <c r="AB209" i="21" s="1"/>
  <c r="X209" i="21"/>
  <c r="W209" i="21"/>
  <c r="AA209" i="21" s="1"/>
  <c r="V209" i="21"/>
  <c r="U209" i="21"/>
  <c r="Y208" i="21"/>
  <c r="AB208" i="21" s="1"/>
  <c r="X208" i="21"/>
  <c r="W208" i="21"/>
  <c r="V208" i="21"/>
  <c r="U208" i="21"/>
  <c r="Y207" i="21"/>
  <c r="AB207" i="21" s="1"/>
  <c r="X207" i="21"/>
  <c r="W207" i="21"/>
  <c r="AA207" i="21" s="1"/>
  <c r="V207" i="21"/>
  <c r="U207" i="21"/>
  <c r="Y206" i="21"/>
  <c r="AB206" i="21" s="1"/>
  <c r="X206" i="21"/>
  <c r="W206" i="21"/>
  <c r="AA206" i="21" s="1"/>
  <c r="V206" i="21"/>
  <c r="U206" i="21"/>
  <c r="Y205" i="21"/>
  <c r="AB205" i="21" s="1"/>
  <c r="X205" i="21"/>
  <c r="W205" i="21"/>
  <c r="AA205" i="21" s="1"/>
  <c r="V205" i="21"/>
  <c r="U205" i="21"/>
  <c r="Y204" i="21"/>
  <c r="AB204" i="21" s="1"/>
  <c r="X204" i="21"/>
  <c r="W204" i="21"/>
  <c r="AA204" i="21" s="1"/>
  <c r="V204" i="21"/>
  <c r="U204" i="21"/>
  <c r="Y203" i="21"/>
  <c r="AB203" i="21" s="1"/>
  <c r="X203" i="21"/>
  <c r="W203" i="21"/>
  <c r="AA203" i="21" s="1"/>
  <c r="V203" i="21"/>
  <c r="U203" i="21"/>
  <c r="Y202" i="21"/>
  <c r="AB202" i="21" s="1"/>
  <c r="X202" i="21"/>
  <c r="W202" i="21"/>
  <c r="AA202" i="21" s="1"/>
  <c r="V202" i="21"/>
  <c r="U202" i="21"/>
  <c r="X201" i="21"/>
  <c r="Y200" i="21"/>
  <c r="AB200" i="21" s="1"/>
  <c r="X200" i="21"/>
  <c r="W200" i="21"/>
  <c r="AA200" i="21" s="1"/>
  <c r="V200" i="21"/>
  <c r="U200" i="21"/>
  <c r="Y199" i="21"/>
  <c r="AB199" i="21" s="1"/>
  <c r="X199" i="21"/>
  <c r="W199" i="21"/>
  <c r="AA199" i="21" s="1"/>
  <c r="V199" i="21"/>
  <c r="U199" i="21"/>
  <c r="Y198" i="21"/>
  <c r="AB198" i="21" s="1"/>
  <c r="X198" i="21"/>
  <c r="W198" i="21"/>
  <c r="AA198" i="21" s="1"/>
  <c r="V198" i="21"/>
  <c r="U198" i="21"/>
  <c r="Y197" i="21"/>
  <c r="AB197" i="21" s="1"/>
  <c r="X197" i="21"/>
  <c r="W197" i="21"/>
  <c r="AA197" i="21" s="1"/>
  <c r="V197" i="21"/>
  <c r="U197" i="21"/>
  <c r="Y196" i="21"/>
  <c r="AB196" i="21" s="1"/>
  <c r="X196" i="21"/>
  <c r="W196" i="21"/>
  <c r="AA196" i="21" s="1"/>
  <c r="V196" i="21"/>
  <c r="U196" i="21"/>
  <c r="Y195" i="21"/>
  <c r="AB195" i="21" s="1"/>
  <c r="X195" i="21"/>
  <c r="W195" i="21"/>
  <c r="AA195" i="21" s="1"/>
  <c r="V195" i="21"/>
  <c r="U195" i="21"/>
  <c r="Y194" i="21"/>
  <c r="AB194" i="21" s="1"/>
  <c r="X194" i="21"/>
  <c r="W194" i="21"/>
  <c r="AA194" i="21" s="1"/>
  <c r="V194" i="21"/>
  <c r="U194" i="21"/>
  <c r="Y193" i="21"/>
  <c r="AB193" i="21" s="1"/>
  <c r="X193" i="21"/>
  <c r="W193" i="21"/>
  <c r="AA193" i="21" s="1"/>
  <c r="V193" i="21"/>
  <c r="U193" i="21"/>
  <c r="Y192" i="21"/>
  <c r="AB192" i="21" s="1"/>
  <c r="X192" i="21"/>
  <c r="W192" i="21"/>
  <c r="AA192" i="21" s="1"/>
  <c r="V192" i="21"/>
  <c r="U192" i="21"/>
  <c r="Y191" i="21"/>
  <c r="AB191" i="21" s="1"/>
  <c r="X191" i="21"/>
  <c r="W191" i="21"/>
  <c r="AA191" i="21" s="1"/>
  <c r="V191" i="21"/>
  <c r="U191" i="21"/>
  <c r="Y190" i="21"/>
  <c r="AB190" i="21" s="1"/>
  <c r="X190" i="21"/>
  <c r="W190" i="21"/>
  <c r="AA190" i="21" s="1"/>
  <c r="V190" i="21"/>
  <c r="U190" i="21"/>
  <c r="Y189" i="21"/>
  <c r="AB189" i="21" s="1"/>
  <c r="X189" i="21"/>
  <c r="W189" i="21"/>
  <c r="AA189" i="21" s="1"/>
  <c r="V189" i="21"/>
  <c r="U189" i="21"/>
  <c r="Y188" i="21"/>
  <c r="AB188" i="21" s="1"/>
  <c r="X188" i="21"/>
  <c r="W188" i="21"/>
  <c r="AA188" i="21" s="1"/>
  <c r="V188" i="21"/>
  <c r="U188" i="21"/>
  <c r="Y187" i="21"/>
  <c r="AB187" i="21" s="1"/>
  <c r="X187" i="21"/>
  <c r="W187" i="21"/>
  <c r="AA187" i="21" s="1"/>
  <c r="V187" i="21"/>
  <c r="U187" i="21"/>
  <c r="Y186" i="21"/>
  <c r="AB186" i="21" s="1"/>
  <c r="X186" i="21"/>
  <c r="W186" i="21"/>
  <c r="AA186" i="21" s="1"/>
  <c r="V186" i="21"/>
  <c r="U186" i="21"/>
  <c r="Y185" i="21"/>
  <c r="AB185" i="21" s="1"/>
  <c r="X185" i="21"/>
  <c r="W185" i="21"/>
  <c r="AA185" i="21" s="1"/>
  <c r="V185" i="21"/>
  <c r="U185" i="21"/>
  <c r="Y184" i="21"/>
  <c r="AB184" i="21" s="1"/>
  <c r="X184" i="21"/>
  <c r="W184" i="21"/>
  <c r="AA184" i="21" s="1"/>
  <c r="V184" i="21"/>
  <c r="U184" i="21"/>
  <c r="Y183" i="21"/>
  <c r="AB183" i="21" s="1"/>
  <c r="X183" i="21"/>
  <c r="W183" i="21"/>
  <c r="AA183" i="21" s="1"/>
  <c r="V183" i="21"/>
  <c r="U183" i="21"/>
  <c r="Y182" i="21"/>
  <c r="AB182" i="21" s="1"/>
  <c r="X182" i="21"/>
  <c r="W182" i="21"/>
  <c r="AA182" i="21" s="1"/>
  <c r="V182" i="21"/>
  <c r="U182" i="21"/>
  <c r="Y181" i="21"/>
  <c r="AB181" i="21" s="1"/>
  <c r="X181" i="21"/>
  <c r="W181" i="21"/>
  <c r="AA181" i="21" s="1"/>
  <c r="V181" i="21"/>
  <c r="U181" i="21"/>
  <c r="Y180" i="21"/>
  <c r="AB180" i="21" s="1"/>
  <c r="X180" i="21"/>
  <c r="W180" i="21"/>
  <c r="AA180" i="21" s="1"/>
  <c r="V180" i="21"/>
  <c r="U180" i="21"/>
  <c r="Y179" i="21"/>
  <c r="AB179" i="21" s="1"/>
  <c r="X179" i="21"/>
  <c r="W179" i="21"/>
  <c r="AA179" i="21" s="1"/>
  <c r="V179" i="21"/>
  <c r="U179" i="21"/>
  <c r="Y178" i="21"/>
  <c r="AB178" i="21" s="1"/>
  <c r="X178" i="21"/>
  <c r="W178" i="21"/>
  <c r="AA178" i="21" s="1"/>
  <c r="V178" i="21"/>
  <c r="U178" i="21"/>
  <c r="Y177" i="21"/>
  <c r="AB177" i="21" s="1"/>
  <c r="X177" i="21"/>
  <c r="W177" i="21"/>
  <c r="AA177" i="21" s="1"/>
  <c r="V177" i="21"/>
  <c r="U177" i="21"/>
  <c r="Y176" i="21"/>
  <c r="AB176" i="21" s="1"/>
  <c r="X176" i="21"/>
  <c r="W176" i="21"/>
  <c r="AA176" i="21" s="1"/>
  <c r="V176" i="21"/>
  <c r="U176" i="21"/>
  <c r="Y175" i="21"/>
  <c r="AB175" i="21" s="1"/>
  <c r="X175" i="21"/>
  <c r="W175" i="21"/>
  <c r="AA175" i="21" s="1"/>
  <c r="V175" i="21"/>
  <c r="U175" i="21"/>
  <c r="Y174" i="21"/>
  <c r="AB174" i="21" s="1"/>
  <c r="X174" i="21"/>
  <c r="W174" i="21"/>
  <c r="AA174" i="21" s="1"/>
  <c r="V174" i="21"/>
  <c r="U174" i="21"/>
  <c r="Y173" i="21"/>
  <c r="AB173" i="21" s="1"/>
  <c r="X173" i="21"/>
  <c r="W173" i="21"/>
  <c r="AA173" i="21" s="1"/>
  <c r="V173" i="21"/>
  <c r="U173" i="21"/>
  <c r="Y172" i="21"/>
  <c r="AB172" i="21" s="1"/>
  <c r="X172" i="21"/>
  <c r="W172" i="21"/>
  <c r="AA172" i="21" s="1"/>
  <c r="V172" i="21"/>
  <c r="U172" i="21"/>
  <c r="Y171" i="21"/>
  <c r="AB171" i="21" s="1"/>
  <c r="X171" i="21"/>
  <c r="W171" i="21"/>
  <c r="AA171" i="21" s="1"/>
  <c r="V171" i="21"/>
  <c r="U171" i="21"/>
  <c r="Y170" i="21"/>
  <c r="AB170" i="21" s="1"/>
  <c r="X170" i="21"/>
  <c r="W170" i="21"/>
  <c r="AA170" i="21" s="1"/>
  <c r="V170" i="21"/>
  <c r="U170" i="21"/>
  <c r="Y169" i="21"/>
  <c r="AB169" i="21" s="1"/>
  <c r="X169" i="21"/>
  <c r="W169" i="21"/>
  <c r="AA169" i="21" s="1"/>
  <c r="V169" i="21"/>
  <c r="U169" i="21"/>
  <c r="Y168" i="21"/>
  <c r="AB168" i="21" s="1"/>
  <c r="X168" i="21"/>
  <c r="W168" i="21"/>
  <c r="AA168" i="21" s="1"/>
  <c r="V168" i="21"/>
  <c r="U168" i="21"/>
  <c r="Y167" i="21"/>
  <c r="AB167" i="21" s="1"/>
  <c r="X167" i="21"/>
  <c r="W167" i="21"/>
  <c r="AA167" i="21" s="1"/>
  <c r="V167" i="21"/>
  <c r="U167" i="21"/>
  <c r="Y166" i="21"/>
  <c r="AB166" i="21" s="1"/>
  <c r="X166" i="21"/>
  <c r="W166" i="21"/>
  <c r="AA166" i="21" s="1"/>
  <c r="V166" i="21"/>
  <c r="U166" i="21"/>
  <c r="Y165" i="21"/>
  <c r="AB165" i="21" s="1"/>
  <c r="X165" i="21"/>
  <c r="W165" i="21"/>
  <c r="AA165" i="21" s="1"/>
  <c r="V165" i="21"/>
  <c r="U165" i="21"/>
  <c r="Y164" i="21"/>
  <c r="AB164" i="21" s="1"/>
  <c r="X164" i="21"/>
  <c r="W164" i="21"/>
  <c r="AA164" i="21" s="1"/>
  <c r="V164" i="21"/>
  <c r="U164" i="21"/>
  <c r="Y163" i="21"/>
  <c r="AB163" i="21" s="1"/>
  <c r="X163" i="21"/>
  <c r="W163" i="21"/>
  <c r="AA163" i="21" s="1"/>
  <c r="V163" i="21"/>
  <c r="U163" i="21"/>
  <c r="Y162" i="21"/>
  <c r="AB162" i="21" s="1"/>
  <c r="X162" i="21"/>
  <c r="W162" i="21"/>
  <c r="AA162" i="21" s="1"/>
  <c r="V162" i="21"/>
  <c r="U162" i="21"/>
  <c r="Y161" i="21"/>
  <c r="AB161" i="21" s="1"/>
  <c r="X161" i="21"/>
  <c r="W161" i="21"/>
  <c r="AA161" i="21" s="1"/>
  <c r="V161" i="21"/>
  <c r="U161" i="21"/>
  <c r="X160" i="21"/>
  <c r="W160" i="21"/>
  <c r="AA160" i="21" s="1"/>
  <c r="V160" i="21"/>
  <c r="U160" i="21"/>
  <c r="Y159" i="21"/>
  <c r="AB159" i="21" s="1"/>
  <c r="X159" i="21"/>
  <c r="W159" i="21"/>
  <c r="AA159" i="21" s="1"/>
  <c r="V159" i="21"/>
  <c r="U159" i="21"/>
  <c r="Y158" i="21"/>
  <c r="AB158" i="21" s="1"/>
  <c r="X158" i="21"/>
  <c r="W158" i="21"/>
  <c r="AA158" i="21" s="1"/>
  <c r="V158" i="21"/>
  <c r="U158" i="21"/>
  <c r="Y157" i="21"/>
  <c r="AB157" i="21" s="1"/>
  <c r="X157" i="21"/>
  <c r="W157" i="21"/>
  <c r="AA157" i="21" s="1"/>
  <c r="V157" i="21"/>
  <c r="U157" i="21"/>
  <c r="Y156" i="21"/>
  <c r="AB156" i="21" s="1"/>
  <c r="X156" i="21"/>
  <c r="W156" i="21"/>
  <c r="AA156" i="21" s="1"/>
  <c r="V156" i="21"/>
  <c r="U156" i="21"/>
  <c r="Y155" i="21"/>
  <c r="AB155" i="21" s="1"/>
  <c r="X155" i="21"/>
  <c r="W155" i="21"/>
  <c r="AA155" i="21" s="1"/>
  <c r="V155" i="21"/>
  <c r="U155" i="21"/>
  <c r="Y154" i="21"/>
  <c r="AB154" i="21" s="1"/>
  <c r="X154" i="21"/>
  <c r="W154" i="21"/>
  <c r="AA154" i="21" s="1"/>
  <c r="V154" i="21"/>
  <c r="U154" i="21"/>
  <c r="Y153" i="21"/>
  <c r="AB153" i="21" s="1"/>
  <c r="X153" i="21"/>
  <c r="W153" i="21"/>
  <c r="AA153" i="21" s="1"/>
  <c r="V153" i="21"/>
  <c r="U153" i="21"/>
  <c r="Y152" i="21"/>
  <c r="AB152" i="21" s="1"/>
  <c r="X152" i="21"/>
  <c r="W152" i="21"/>
  <c r="AA152" i="21" s="1"/>
  <c r="V152" i="21"/>
  <c r="U152" i="21"/>
  <c r="Y151" i="21"/>
  <c r="AB151" i="21" s="1"/>
  <c r="X151" i="21"/>
  <c r="W151" i="21"/>
  <c r="AA151" i="21" s="1"/>
  <c r="V151" i="21"/>
  <c r="U151" i="21"/>
  <c r="Y150" i="21"/>
  <c r="AB150" i="21" s="1"/>
  <c r="X150" i="21"/>
  <c r="W150" i="21"/>
  <c r="AA150" i="21" s="1"/>
  <c r="V150" i="21"/>
  <c r="U150" i="21"/>
  <c r="Y149" i="21"/>
  <c r="AB149" i="21" s="1"/>
  <c r="X149" i="21"/>
  <c r="W149" i="21"/>
  <c r="AA149" i="21" s="1"/>
  <c r="V149" i="21"/>
  <c r="U149" i="21"/>
  <c r="Y148" i="21"/>
  <c r="AB148" i="21" s="1"/>
  <c r="X148" i="21"/>
  <c r="W148" i="21"/>
  <c r="AA148" i="21" s="1"/>
  <c r="V148" i="21"/>
  <c r="U148" i="21"/>
  <c r="Y147" i="21"/>
  <c r="AB147" i="21" s="1"/>
  <c r="X147" i="21"/>
  <c r="W147" i="21"/>
  <c r="AA147" i="21" s="1"/>
  <c r="V147" i="21"/>
  <c r="U147" i="21"/>
  <c r="Y146" i="21"/>
  <c r="AB146" i="21" s="1"/>
  <c r="X146" i="21"/>
  <c r="W146" i="21"/>
  <c r="AA146" i="21" s="1"/>
  <c r="V146" i="21"/>
  <c r="U146" i="21"/>
  <c r="Y145" i="21"/>
  <c r="AB145" i="21" s="1"/>
  <c r="X145" i="21"/>
  <c r="W145" i="21"/>
  <c r="AA145" i="21" s="1"/>
  <c r="V145" i="21"/>
  <c r="U145" i="21"/>
  <c r="Y144" i="21"/>
  <c r="AB144" i="21" s="1"/>
  <c r="X144" i="21"/>
  <c r="W144" i="21"/>
  <c r="AA144" i="21" s="1"/>
  <c r="V144" i="21"/>
  <c r="U144" i="21"/>
  <c r="Y143" i="21"/>
  <c r="AB143" i="21" s="1"/>
  <c r="X143" i="21"/>
  <c r="W143" i="21"/>
  <c r="AA143" i="21" s="1"/>
  <c r="V143" i="21"/>
  <c r="U143" i="21"/>
  <c r="Y142" i="21"/>
  <c r="AB142" i="21" s="1"/>
  <c r="X142" i="21"/>
  <c r="W142" i="21"/>
  <c r="AA142" i="21" s="1"/>
  <c r="V142" i="21"/>
  <c r="U142" i="21"/>
  <c r="Y141" i="21"/>
  <c r="AB141" i="21" s="1"/>
  <c r="X141" i="21"/>
  <c r="W141" i="21"/>
  <c r="AA141" i="21" s="1"/>
  <c r="V141" i="21"/>
  <c r="U141" i="21"/>
  <c r="Y140" i="21"/>
  <c r="AB140" i="21" s="1"/>
  <c r="X140" i="21"/>
  <c r="W140" i="21"/>
  <c r="AA140" i="21" s="1"/>
  <c r="V140" i="21"/>
  <c r="U140" i="21"/>
  <c r="Y139" i="21"/>
  <c r="AB139" i="21" s="1"/>
  <c r="X139" i="21"/>
  <c r="W139" i="21"/>
  <c r="AA139" i="21" s="1"/>
  <c r="V139" i="21"/>
  <c r="U139" i="21"/>
  <c r="Y138" i="21"/>
  <c r="AB138" i="21" s="1"/>
  <c r="X138" i="21"/>
  <c r="W138" i="21"/>
  <c r="AA138" i="21" s="1"/>
  <c r="V138" i="21"/>
  <c r="U138" i="21"/>
  <c r="Y137" i="21"/>
  <c r="AB137" i="21" s="1"/>
  <c r="X137" i="21"/>
  <c r="W137" i="21"/>
  <c r="AA137" i="21" s="1"/>
  <c r="V137" i="21"/>
  <c r="U137" i="21"/>
  <c r="Y136" i="21"/>
  <c r="AB136" i="21" s="1"/>
  <c r="X136" i="21"/>
  <c r="W136" i="21"/>
  <c r="AA136" i="21" s="1"/>
  <c r="V136" i="21"/>
  <c r="U136" i="21"/>
  <c r="Y135" i="21"/>
  <c r="AB135" i="21" s="1"/>
  <c r="X135" i="21"/>
  <c r="W135" i="21"/>
  <c r="AA135" i="21" s="1"/>
  <c r="V135" i="21"/>
  <c r="U135" i="21"/>
  <c r="Y134" i="21"/>
  <c r="AB134" i="21" s="1"/>
  <c r="X134" i="21"/>
  <c r="W134" i="21"/>
  <c r="AA134" i="21" s="1"/>
  <c r="V134" i="21"/>
  <c r="U134" i="21"/>
  <c r="Y133" i="21"/>
  <c r="AB133" i="21" s="1"/>
  <c r="X133" i="21"/>
  <c r="W133" i="21"/>
  <c r="AA133" i="21" s="1"/>
  <c r="V133" i="21"/>
  <c r="U133" i="21"/>
  <c r="Y132" i="21"/>
  <c r="AB132" i="21" s="1"/>
  <c r="X132" i="21"/>
  <c r="W132" i="21"/>
  <c r="AA132" i="21" s="1"/>
  <c r="V132" i="21"/>
  <c r="U132" i="21"/>
  <c r="Y131" i="21"/>
  <c r="AB131" i="21" s="1"/>
  <c r="X131" i="21"/>
  <c r="W131" i="21"/>
  <c r="AA131" i="21" s="1"/>
  <c r="V131" i="21"/>
  <c r="U131" i="21"/>
  <c r="Y130" i="21"/>
  <c r="AB130" i="21" s="1"/>
  <c r="X130" i="21"/>
  <c r="W130" i="21"/>
  <c r="AA130" i="21" s="1"/>
  <c r="V130" i="21"/>
  <c r="U130" i="21"/>
  <c r="Y129" i="21"/>
  <c r="AB129" i="21" s="1"/>
  <c r="X129" i="21"/>
  <c r="W129" i="21"/>
  <c r="AA129" i="21" s="1"/>
  <c r="V129" i="21"/>
  <c r="U129" i="21"/>
  <c r="Y128" i="21"/>
  <c r="AB128" i="21" s="1"/>
  <c r="X128" i="21"/>
  <c r="W128" i="21"/>
  <c r="AA128" i="21" s="1"/>
  <c r="V128" i="21"/>
  <c r="U128" i="21"/>
  <c r="Y127" i="21"/>
  <c r="AB127" i="21" s="1"/>
  <c r="X127" i="21"/>
  <c r="W127" i="21"/>
  <c r="AA127" i="21" s="1"/>
  <c r="V127" i="21"/>
  <c r="U127" i="21"/>
  <c r="Y126" i="21"/>
  <c r="AB126" i="21" s="1"/>
  <c r="X126" i="21"/>
  <c r="W126" i="21"/>
  <c r="AA126" i="21" s="1"/>
  <c r="V126" i="21"/>
  <c r="U126" i="21"/>
  <c r="Y125" i="21"/>
  <c r="AB125" i="21" s="1"/>
  <c r="X125" i="21"/>
  <c r="W125" i="21"/>
  <c r="AA125" i="21" s="1"/>
  <c r="V125" i="21"/>
  <c r="U125" i="21"/>
  <c r="Y124" i="21"/>
  <c r="AB124" i="21" s="1"/>
  <c r="X124" i="21"/>
  <c r="W124" i="21"/>
  <c r="AA124" i="21" s="1"/>
  <c r="V124" i="21"/>
  <c r="U124" i="21"/>
  <c r="Y123" i="21"/>
  <c r="AB123" i="21" s="1"/>
  <c r="X123" i="21"/>
  <c r="W123" i="21"/>
  <c r="AA123" i="21" s="1"/>
  <c r="V123" i="21"/>
  <c r="U123" i="21"/>
  <c r="Y122" i="21"/>
  <c r="AB122" i="21" s="1"/>
  <c r="X122" i="21"/>
  <c r="W122" i="21"/>
  <c r="AA122" i="21" s="1"/>
  <c r="V122" i="21"/>
  <c r="U122" i="21"/>
  <c r="Y121" i="21"/>
  <c r="AB121" i="21" s="1"/>
  <c r="X121" i="21"/>
  <c r="W121" i="21"/>
  <c r="AA121" i="21" s="1"/>
  <c r="V121" i="21"/>
  <c r="U121" i="21"/>
  <c r="Y120" i="21"/>
  <c r="AB120" i="21" s="1"/>
  <c r="X120" i="21"/>
  <c r="W120" i="21"/>
  <c r="AA120" i="21" s="1"/>
  <c r="V120" i="21"/>
  <c r="U120" i="21"/>
  <c r="Y119" i="21"/>
  <c r="AB119" i="21" s="1"/>
  <c r="X119" i="21"/>
  <c r="W119" i="21"/>
  <c r="AA119" i="21" s="1"/>
  <c r="V119" i="21"/>
  <c r="U119" i="21"/>
  <c r="Y118" i="21"/>
  <c r="AB118" i="21" s="1"/>
  <c r="X118" i="21"/>
  <c r="W118" i="21"/>
  <c r="AA118" i="21" s="1"/>
  <c r="V118" i="21"/>
  <c r="U118" i="21"/>
  <c r="Y117" i="21"/>
  <c r="AB117" i="21" s="1"/>
  <c r="X117" i="21"/>
  <c r="W117" i="21"/>
  <c r="AA117" i="21" s="1"/>
  <c r="V117" i="21"/>
  <c r="U117" i="21"/>
  <c r="Y116" i="21"/>
  <c r="AB116" i="21" s="1"/>
  <c r="X116" i="21"/>
  <c r="W116" i="21"/>
  <c r="AA116" i="21" s="1"/>
  <c r="V116" i="21"/>
  <c r="U116" i="21"/>
  <c r="Y115" i="21"/>
  <c r="AB115" i="21" s="1"/>
  <c r="X115" i="21"/>
  <c r="W115" i="21"/>
  <c r="AA115" i="21" s="1"/>
  <c r="V115" i="21"/>
  <c r="U115" i="21"/>
  <c r="Y114" i="21"/>
  <c r="AB114" i="21" s="1"/>
  <c r="X114" i="21"/>
  <c r="W114" i="21"/>
  <c r="AA114" i="21" s="1"/>
  <c r="V114" i="21"/>
  <c r="U114" i="21"/>
  <c r="Y113" i="21"/>
  <c r="AB113" i="21" s="1"/>
  <c r="X113" i="21"/>
  <c r="W113" i="21"/>
  <c r="AA113" i="21" s="1"/>
  <c r="V113" i="21"/>
  <c r="U113" i="21"/>
  <c r="Y112" i="21"/>
  <c r="AB112" i="21" s="1"/>
  <c r="X112" i="21"/>
  <c r="W112" i="21"/>
  <c r="AA112" i="21" s="1"/>
  <c r="V112" i="21"/>
  <c r="U112" i="21"/>
  <c r="Y111" i="21"/>
  <c r="AB111" i="21" s="1"/>
  <c r="X111" i="21"/>
  <c r="W111" i="21"/>
  <c r="AA111" i="21" s="1"/>
  <c r="V111" i="21"/>
  <c r="U111" i="21"/>
  <c r="Y110" i="21"/>
  <c r="AB110" i="21" s="1"/>
  <c r="X110" i="21"/>
  <c r="W110" i="21"/>
  <c r="AA110" i="21" s="1"/>
  <c r="V110" i="21"/>
  <c r="U110" i="21"/>
  <c r="Y109" i="21"/>
  <c r="AB109" i="21" s="1"/>
  <c r="X109" i="21"/>
  <c r="W109" i="21"/>
  <c r="AA109" i="21" s="1"/>
  <c r="V109" i="21"/>
  <c r="U109" i="21"/>
  <c r="Y108" i="21"/>
  <c r="AB108" i="21" s="1"/>
  <c r="X108" i="21"/>
  <c r="W108" i="21"/>
  <c r="AA108" i="21" s="1"/>
  <c r="V108" i="21"/>
  <c r="U108" i="21"/>
  <c r="Y107" i="21"/>
  <c r="AB107" i="21" s="1"/>
  <c r="X107" i="21"/>
  <c r="W107" i="21"/>
  <c r="AA107" i="21" s="1"/>
  <c r="V107" i="21"/>
  <c r="U107" i="21"/>
  <c r="Y106" i="21"/>
  <c r="AB106" i="21" s="1"/>
  <c r="X106" i="21"/>
  <c r="W106" i="21"/>
  <c r="AA106" i="21" s="1"/>
  <c r="V106" i="21"/>
  <c r="U106" i="21"/>
  <c r="Y105" i="21"/>
  <c r="AB105" i="21" s="1"/>
  <c r="X105" i="21"/>
  <c r="W105" i="21"/>
  <c r="AA105" i="21" s="1"/>
  <c r="V105" i="21"/>
  <c r="U105" i="21"/>
  <c r="Y104" i="21"/>
  <c r="AB104" i="21" s="1"/>
  <c r="X104" i="21"/>
  <c r="W104" i="21"/>
  <c r="AA104" i="21" s="1"/>
  <c r="V104" i="21"/>
  <c r="U104" i="21"/>
  <c r="Y103" i="21"/>
  <c r="AB103" i="21" s="1"/>
  <c r="X103" i="21"/>
  <c r="W103" i="21"/>
  <c r="AA103" i="21" s="1"/>
  <c r="V103" i="21"/>
  <c r="U103" i="21"/>
  <c r="Y102" i="21"/>
  <c r="AB102" i="21" s="1"/>
  <c r="X102" i="21"/>
  <c r="W102" i="21"/>
  <c r="AA102" i="21" s="1"/>
  <c r="V102" i="21"/>
  <c r="U102" i="21"/>
  <c r="Y101" i="21"/>
  <c r="AB101" i="21" s="1"/>
  <c r="X101" i="21"/>
  <c r="W101" i="21"/>
  <c r="AA101" i="21" s="1"/>
  <c r="V101" i="21"/>
  <c r="U101" i="21"/>
  <c r="Y100" i="21"/>
  <c r="AB100" i="21" s="1"/>
  <c r="X100" i="21"/>
  <c r="W100" i="21"/>
  <c r="AA100" i="21" s="1"/>
  <c r="V100" i="21"/>
  <c r="U100" i="21"/>
  <c r="Y99" i="21"/>
  <c r="AB99" i="21" s="1"/>
  <c r="X99" i="21"/>
  <c r="W99" i="21"/>
  <c r="AA99" i="21" s="1"/>
  <c r="V99" i="21"/>
  <c r="U99" i="21"/>
  <c r="Y98" i="21"/>
  <c r="AB98" i="21" s="1"/>
  <c r="X98" i="21"/>
  <c r="W98" i="21"/>
  <c r="AA98" i="21" s="1"/>
  <c r="V98" i="21"/>
  <c r="U98" i="21"/>
  <c r="Y97" i="21"/>
  <c r="AB97" i="21" s="1"/>
  <c r="X97" i="21"/>
  <c r="W97" i="21"/>
  <c r="AA97" i="21" s="1"/>
  <c r="V97" i="21"/>
  <c r="U97" i="21"/>
  <c r="Y96" i="21"/>
  <c r="AB96" i="21" s="1"/>
  <c r="X96" i="21"/>
  <c r="W96" i="21"/>
  <c r="AA96" i="21" s="1"/>
  <c r="V96" i="21"/>
  <c r="U96" i="21"/>
  <c r="Y95" i="21"/>
  <c r="AB95" i="21" s="1"/>
  <c r="X95" i="21"/>
  <c r="W95" i="21"/>
  <c r="AA95" i="21" s="1"/>
  <c r="V95" i="21"/>
  <c r="U95" i="21"/>
  <c r="Y94" i="21"/>
  <c r="AB94" i="21" s="1"/>
  <c r="X94" i="21"/>
  <c r="W94" i="21"/>
  <c r="AA94" i="21" s="1"/>
  <c r="V94" i="21"/>
  <c r="U94" i="21"/>
  <c r="Y93" i="21"/>
  <c r="AB93" i="21" s="1"/>
  <c r="X93" i="21"/>
  <c r="W93" i="21"/>
  <c r="AA93" i="21" s="1"/>
  <c r="V93" i="21"/>
  <c r="U93" i="21"/>
  <c r="Y92" i="21"/>
  <c r="AB92" i="21" s="1"/>
  <c r="X92" i="21"/>
  <c r="W92" i="21"/>
  <c r="AA92" i="21" s="1"/>
  <c r="V92" i="21"/>
  <c r="U92" i="21"/>
  <c r="Y91" i="21"/>
  <c r="AB91" i="21" s="1"/>
  <c r="X91" i="21"/>
  <c r="W91" i="21"/>
  <c r="AA91" i="21" s="1"/>
  <c r="V91" i="21"/>
  <c r="U91" i="21"/>
  <c r="Y90" i="21"/>
  <c r="AB90" i="21" s="1"/>
  <c r="X90" i="21"/>
  <c r="W90" i="21"/>
  <c r="AA90" i="21" s="1"/>
  <c r="V90" i="21"/>
  <c r="U90" i="21"/>
  <c r="Y89" i="21"/>
  <c r="AB89" i="21" s="1"/>
  <c r="X89" i="21"/>
  <c r="W89" i="21"/>
  <c r="AA89" i="21" s="1"/>
  <c r="V89" i="21"/>
  <c r="U89" i="21"/>
  <c r="Y88" i="21"/>
  <c r="AB88" i="21" s="1"/>
  <c r="X88" i="21"/>
  <c r="W88" i="21"/>
  <c r="AA88" i="21" s="1"/>
  <c r="V88" i="21"/>
  <c r="U88" i="21"/>
  <c r="Y87" i="21"/>
  <c r="AB87" i="21" s="1"/>
  <c r="X87" i="21"/>
  <c r="W87" i="21"/>
  <c r="AA87" i="21" s="1"/>
  <c r="V87" i="21"/>
  <c r="U87" i="21"/>
  <c r="Y86" i="21"/>
  <c r="X86" i="21"/>
  <c r="W86" i="21"/>
  <c r="AA86" i="21" s="1"/>
  <c r="V86" i="21"/>
  <c r="U86" i="21"/>
  <c r="Y85" i="21"/>
  <c r="AB85" i="21" s="1"/>
  <c r="X85" i="21"/>
  <c r="W85" i="21"/>
  <c r="AA85" i="21" s="1"/>
  <c r="V85" i="21"/>
  <c r="U85" i="21"/>
  <c r="Y84" i="21"/>
  <c r="AB84" i="21" s="1"/>
  <c r="X84" i="21"/>
  <c r="W84" i="21"/>
  <c r="AA84" i="21" s="1"/>
  <c r="V84" i="21"/>
  <c r="U84" i="21"/>
  <c r="Y83" i="21"/>
  <c r="AB83" i="21" s="1"/>
  <c r="X83" i="21"/>
  <c r="W83" i="21"/>
  <c r="AA83" i="21" s="1"/>
  <c r="V83" i="21"/>
  <c r="U83" i="21"/>
  <c r="Y82" i="21"/>
  <c r="AB82" i="21" s="1"/>
  <c r="X82" i="21"/>
  <c r="W82" i="21"/>
  <c r="AA82" i="21" s="1"/>
  <c r="V82" i="21"/>
  <c r="U82" i="21"/>
  <c r="Y81" i="21"/>
  <c r="AB81" i="21" s="1"/>
  <c r="X81" i="21"/>
  <c r="W81" i="21"/>
  <c r="AA81" i="21" s="1"/>
  <c r="V81" i="21"/>
  <c r="U81" i="21"/>
  <c r="Y80" i="21"/>
  <c r="AB80" i="21" s="1"/>
  <c r="X80" i="21"/>
  <c r="W80" i="21"/>
  <c r="AA80" i="21" s="1"/>
  <c r="V80" i="21"/>
  <c r="U80" i="21"/>
  <c r="Y79" i="21"/>
  <c r="AB79" i="21" s="1"/>
  <c r="X79" i="21"/>
  <c r="W79" i="21"/>
  <c r="AA79" i="21" s="1"/>
  <c r="V79" i="21"/>
  <c r="U79" i="21"/>
  <c r="Y78" i="21"/>
  <c r="AB78" i="21" s="1"/>
  <c r="X78" i="21"/>
  <c r="W78" i="21"/>
  <c r="AA78" i="21" s="1"/>
  <c r="V78" i="21"/>
  <c r="U78" i="21"/>
  <c r="Y77" i="21"/>
  <c r="AB77" i="21" s="1"/>
  <c r="X77" i="21"/>
  <c r="W77" i="21"/>
  <c r="AA77" i="21" s="1"/>
  <c r="V77" i="21"/>
  <c r="U77" i="21"/>
  <c r="Y76" i="21"/>
  <c r="AB76" i="21" s="1"/>
  <c r="X76" i="21"/>
  <c r="W76" i="21"/>
  <c r="AA76" i="21" s="1"/>
  <c r="V76" i="21"/>
  <c r="U76" i="21"/>
  <c r="Y75" i="21"/>
  <c r="AB75" i="21" s="1"/>
  <c r="X75" i="21"/>
  <c r="W75" i="21"/>
  <c r="AA75" i="21" s="1"/>
  <c r="V75" i="21"/>
  <c r="U75" i="21"/>
  <c r="Y74" i="21"/>
  <c r="AB74" i="21" s="1"/>
  <c r="X74" i="21"/>
  <c r="W74" i="21"/>
  <c r="AA74" i="21" s="1"/>
  <c r="V74" i="21"/>
  <c r="U74" i="21"/>
  <c r="Y73" i="21"/>
  <c r="AB73" i="21" s="1"/>
  <c r="X73" i="21"/>
  <c r="W73" i="21"/>
  <c r="AA73" i="21" s="1"/>
  <c r="V73" i="21"/>
  <c r="U73" i="21"/>
  <c r="Y72" i="21"/>
  <c r="AB72" i="21" s="1"/>
  <c r="X72" i="21"/>
  <c r="W72" i="21"/>
  <c r="AA72" i="21" s="1"/>
  <c r="V72" i="21"/>
  <c r="U72" i="21"/>
  <c r="Y71" i="21"/>
  <c r="AB71" i="21" s="1"/>
  <c r="X71" i="21"/>
  <c r="W71" i="21"/>
  <c r="AA71" i="21" s="1"/>
  <c r="V71" i="21"/>
  <c r="U71" i="21"/>
  <c r="Y70" i="21"/>
  <c r="AB70" i="21" s="1"/>
  <c r="X70" i="21"/>
  <c r="W70" i="21"/>
  <c r="AA70" i="21" s="1"/>
  <c r="V70" i="21"/>
  <c r="U70" i="21"/>
  <c r="Y69" i="21"/>
  <c r="AB69" i="21" s="1"/>
  <c r="X69" i="21"/>
  <c r="W69" i="21"/>
  <c r="AA69" i="21" s="1"/>
  <c r="V69" i="21"/>
  <c r="U69" i="21"/>
  <c r="Y68" i="21"/>
  <c r="AB68" i="21" s="1"/>
  <c r="X68" i="21"/>
  <c r="W68" i="21"/>
  <c r="AA68" i="21" s="1"/>
  <c r="V68" i="21"/>
  <c r="U68" i="21"/>
  <c r="Y67" i="21"/>
  <c r="AB67" i="21" s="1"/>
  <c r="X67" i="21"/>
  <c r="W67" i="21"/>
  <c r="AA67" i="21" s="1"/>
  <c r="V67" i="21"/>
  <c r="U67" i="21"/>
  <c r="Y66" i="21"/>
  <c r="AB66" i="21" s="1"/>
  <c r="X66" i="21"/>
  <c r="W66" i="21"/>
  <c r="AA66" i="21" s="1"/>
  <c r="V66" i="21"/>
  <c r="B30" i="24" s="1"/>
  <c r="U66" i="21"/>
  <c r="Y65" i="21"/>
  <c r="AB65" i="21" s="1"/>
  <c r="X65" i="21"/>
  <c r="W65" i="21"/>
  <c r="AA65" i="21" s="1"/>
  <c r="V65" i="21"/>
  <c r="U65" i="21"/>
  <c r="Y64" i="21"/>
  <c r="AB64" i="21" s="1"/>
  <c r="X64" i="21"/>
  <c r="W64" i="21"/>
  <c r="AA64" i="21" s="1"/>
  <c r="V64" i="21"/>
  <c r="U64" i="21"/>
  <c r="Y63" i="21"/>
  <c r="AB63" i="21" s="1"/>
  <c r="X63" i="21"/>
  <c r="W63" i="21"/>
  <c r="AA63" i="21" s="1"/>
  <c r="V63" i="21"/>
  <c r="U63" i="21"/>
  <c r="Y62" i="21"/>
  <c r="AB62" i="21" s="1"/>
  <c r="X62" i="21"/>
  <c r="W62" i="21"/>
  <c r="AA62" i="21" s="1"/>
  <c r="V62" i="21"/>
  <c r="U62" i="21"/>
  <c r="Y61" i="21"/>
  <c r="AB61" i="21" s="1"/>
  <c r="X61" i="21"/>
  <c r="W61" i="21"/>
  <c r="AA61" i="21" s="1"/>
  <c r="V61" i="21"/>
  <c r="U61" i="21"/>
  <c r="Y60" i="21"/>
  <c r="AB60" i="21" s="1"/>
  <c r="X60" i="21"/>
  <c r="W60" i="21"/>
  <c r="AA60" i="21" s="1"/>
  <c r="V60" i="21"/>
  <c r="U60" i="21"/>
  <c r="Y59" i="21"/>
  <c r="AB59" i="21" s="1"/>
  <c r="X59" i="21"/>
  <c r="W59" i="21"/>
  <c r="AA59" i="21" s="1"/>
  <c r="V59" i="21"/>
  <c r="U59" i="21"/>
  <c r="Y58" i="21"/>
  <c r="AB58" i="21" s="1"/>
  <c r="X58" i="21"/>
  <c r="W58" i="21"/>
  <c r="AA58" i="21" s="1"/>
  <c r="V58" i="21"/>
  <c r="U58" i="21"/>
  <c r="Y57" i="21"/>
  <c r="AB57" i="21" s="1"/>
  <c r="X57" i="21"/>
  <c r="W57" i="21"/>
  <c r="AA57" i="21" s="1"/>
  <c r="V57" i="21"/>
  <c r="U57" i="21"/>
  <c r="Y56" i="21"/>
  <c r="AB56" i="21" s="1"/>
  <c r="X56" i="21"/>
  <c r="W56" i="21"/>
  <c r="AA56" i="21" s="1"/>
  <c r="V56" i="21"/>
  <c r="U56" i="21"/>
  <c r="Y55" i="21"/>
  <c r="AB55" i="21" s="1"/>
  <c r="X55" i="21"/>
  <c r="W55" i="21"/>
  <c r="AA55" i="21" s="1"/>
  <c r="V55" i="21"/>
  <c r="U55" i="21"/>
  <c r="Y54" i="21"/>
  <c r="AB54" i="21" s="1"/>
  <c r="X54" i="21"/>
  <c r="W54" i="21"/>
  <c r="AA54" i="21" s="1"/>
  <c r="V54" i="21"/>
  <c r="U54" i="21"/>
  <c r="Y53" i="21"/>
  <c r="AB53" i="21" s="1"/>
  <c r="X53" i="21"/>
  <c r="W53" i="21"/>
  <c r="AA53" i="21" s="1"/>
  <c r="V53" i="21"/>
  <c r="U53" i="21"/>
  <c r="Y52" i="21"/>
  <c r="AB52" i="21" s="1"/>
  <c r="X52" i="21"/>
  <c r="W52" i="21"/>
  <c r="AA52" i="21" s="1"/>
  <c r="V52" i="21"/>
  <c r="U52" i="21"/>
  <c r="Y51" i="21"/>
  <c r="AB51" i="21" s="1"/>
  <c r="X51" i="21"/>
  <c r="W51" i="21"/>
  <c r="AA51" i="21" s="1"/>
  <c r="V51" i="21"/>
  <c r="U51" i="21"/>
  <c r="Y50" i="21"/>
  <c r="AB50" i="21" s="1"/>
  <c r="X50" i="21"/>
  <c r="W50" i="21"/>
  <c r="AA50" i="21" s="1"/>
  <c r="V50" i="21"/>
  <c r="U50" i="21"/>
  <c r="Y49" i="21"/>
  <c r="AB49" i="21" s="1"/>
  <c r="X49" i="21"/>
  <c r="W49" i="21"/>
  <c r="AA49" i="21" s="1"/>
  <c r="V49" i="21"/>
  <c r="U49" i="21"/>
  <c r="Y48" i="21"/>
  <c r="AB48" i="21" s="1"/>
  <c r="X48" i="21"/>
  <c r="W48" i="21"/>
  <c r="AA48" i="21" s="1"/>
  <c r="V48" i="21"/>
  <c r="U48" i="21"/>
  <c r="Y47" i="21"/>
  <c r="AB47" i="21" s="1"/>
  <c r="X47" i="21"/>
  <c r="W47" i="21"/>
  <c r="AA47" i="21" s="1"/>
  <c r="V47" i="21"/>
  <c r="U47" i="21"/>
  <c r="Y46" i="21"/>
  <c r="AB46" i="21" s="1"/>
  <c r="X46" i="21"/>
  <c r="W46" i="21"/>
  <c r="AA46" i="21" s="1"/>
  <c r="V46" i="21"/>
  <c r="U46" i="21"/>
  <c r="Y45" i="21"/>
  <c r="AB45" i="21" s="1"/>
  <c r="X45" i="21"/>
  <c r="W45" i="21"/>
  <c r="AA45" i="21" s="1"/>
  <c r="V45" i="21"/>
  <c r="U45" i="21"/>
  <c r="Y44" i="21"/>
  <c r="AB44" i="21" s="1"/>
  <c r="X44" i="21"/>
  <c r="W44" i="21"/>
  <c r="AA44" i="21" s="1"/>
  <c r="V44" i="21"/>
  <c r="U44" i="21"/>
  <c r="Y43" i="21"/>
  <c r="AB43" i="21" s="1"/>
  <c r="X43" i="21"/>
  <c r="W43" i="21"/>
  <c r="AA43" i="21" s="1"/>
  <c r="V43" i="21"/>
  <c r="U43" i="21"/>
  <c r="Y42" i="21"/>
  <c r="AB42" i="21" s="1"/>
  <c r="X42" i="21"/>
  <c r="W42" i="21"/>
  <c r="AA42" i="21" s="1"/>
  <c r="V42" i="21"/>
  <c r="U42" i="21"/>
  <c r="Y41" i="21"/>
  <c r="AB41" i="21" s="1"/>
  <c r="X41" i="21"/>
  <c r="W41" i="21"/>
  <c r="AA41" i="21" s="1"/>
  <c r="V41" i="21"/>
  <c r="U41" i="21"/>
  <c r="Y40" i="21"/>
  <c r="AB40" i="21" s="1"/>
  <c r="X40" i="21"/>
  <c r="W40" i="21"/>
  <c r="AA40" i="21" s="1"/>
  <c r="V40" i="21"/>
  <c r="U40" i="21"/>
  <c r="Y39" i="21"/>
  <c r="AB39" i="21" s="1"/>
  <c r="X39" i="21"/>
  <c r="W39" i="21"/>
  <c r="AA39" i="21" s="1"/>
  <c r="V39" i="21"/>
  <c r="U39" i="21"/>
  <c r="Y38" i="21"/>
  <c r="AB38" i="21" s="1"/>
  <c r="X38" i="21"/>
  <c r="W38" i="21"/>
  <c r="AA38" i="21" s="1"/>
  <c r="V38" i="21"/>
  <c r="U38" i="21"/>
  <c r="Y37" i="21"/>
  <c r="AB37" i="21" s="1"/>
  <c r="X37" i="21"/>
  <c r="W37" i="21"/>
  <c r="AA37" i="21" s="1"/>
  <c r="V37" i="21"/>
  <c r="U37" i="21"/>
  <c r="Y35" i="21"/>
  <c r="AB35" i="21" s="1"/>
  <c r="X35" i="21"/>
  <c r="W35" i="21"/>
  <c r="AA35" i="21" s="1"/>
  <c r="V35" i="21"/>
  <c r="U35" i="21"/>
  <c r="Y34" i="21"/>
  <c r="AB34" i="21" s="1"/>
  <c r="X34" i="21"/>
  <c r="W34" i="21"/>
  <c r="AA34" i="21" s="1"/>
  <c r="V34" i="21"/>
  <c r="U34" i="21"/>
  <c r="Y33" i="21"/>
  <c r="AB33" i="21" s="1"/>
  <c r="X33" i="21"/>
  <c r="W33" i="21"/>
  <c r="AA33" i="21" s="1"/>
  <c r="V33" i="21"/>
  <c r="U33" i="21"/>
  <c r="Y32" i="21"/>
  <c r="AB32" i="21" s="1"/>
  <c r="X32" i="21"/>
  <c r="W32" i="21"/>
  <c r="AA32" i="21" s="1"/>
  <c r="V32" i="21"/>
  <c r="U32" i="21"/>
  <c r="Y31" i="21"/>
  <c r="AB31" i="21" s="1"/>
  <c r="X31" i="21"/>
  <c r="W31" i="21"/>
  <c r="AA31" i="21" s="1"/>
  <c r="V31" i="21"/>
  <c r="U31" i="21"/>
  <c r="Y30" i="21"/>
  <c r="AB30" i="21" s="1"/>
  <c r="X30" i="21"/>
  <c r="W30" i="21"/>
  <c r="AA30" i="21" s="1"/>
  <c r="V30" i="21"/>
  <c r="U30" i="21"/>
  <c r="Y29" i="21"/>
  <c r="AB29" i="21" s="1"/>
  <c r="X29" i="21"/>
  <c r="W29" i="21"/>
  <c r="AA29" i="21" s="1"/>
  <c r="V29" i="21"/>
  <c r="U29" i="21"/>
  <c r="Y28" i="21"/>
  <c r="X28" i="21"/>
  <c r="W28" i="21"/>
  <c r="AA28" i="21" s="1"/>
  <c r="V28" i="21"/>
  <c r="U28" i="21"/>
  <c r="Y27" i="21"/>
  <c r="AB27" i="21" s="1"/>
  <c r="X27" i="21"/>
  <c r="W27" i="21"/>
  <c r="AA27" i="21" s="1"/>
  <c r="V27" i="21"/>
  <c r="U27" i="21"/>
  <c r="Y26" i="21"/>
  <c r="AB26" i="21" s="1"/>
  <c r="X26" i="21"/>
  <c r="W26" i="21"/>
  <c r="AA26" i="21" s="1"/>
  <c r="V26" i="21"/>
  <c r="U26" i="21"/>
  <c r="Y25" i="21"/>
  <c r="AB25" i="21" s="1"/>
  <c r="X25" i="21"/>
  <c r="W25" i="21"/>
  <c r="AA25" i="21" s="1"/>
  <c r="V25" i="21"/>
  <c r="U25" i="21"/>
  <c r="Y24" i="21"/>
  <c r="AB24" i="21" s="1"/>
  <c r="X24" i="21"/>
  <c r="W24" i="21"/>
  <c r="AA24" i="21" s="1"/>
  <c r="V24" i="21"/>
  <c r="U24" i="21"/>
  <c r="Y23" i="21"/>
  <c r="AB23" i="21" s="1"/>
  <c r="X23" i="21"/>
  <c r="W23" i="21"/>
  <c r="AA23" i="21" s="1"/>
  <c r="V23" i="21"/>
  <c r="U23" i="21"/>
  <c r="Y22" i="21"/>
  <c r="AB22" i="21" s="1"/>
  <c r="X22" i="21"/>
  <c r="W22" i="21"/>
  <c r="AA22" i="21" s="1"/>
  <c r="V22" i="21"/>
  <c r="U22" i="21"/>
  <c r="Y21" i="21"/>
  <c r="AB21" i="21" s="1"/>
  <c r="X21" i="21"/>
  <c r="W21" i="21"/>
  <c r="AA21" i="21" s="1"/>
  <c r="V21" i="21"/>
  <c r="U21" i="21"/>
  <c r="Y20" i="21"/>
  <c r="AB20" i="21" s="1"/>
  <c r="X20" i="21"/>
  <c r="W20" i="21"/>
  <c r="AA20" i="21" s="1"/>
  <c r="V20" i="21"/>
  <c r="U20" i="21"/>
  <c r="Y19" i="21"/>
  <c r="AB19" i="21" s="1"/>
  <c r="X19" i="21"/>
  <c r="W19" i="21"/>
  <c r="AA19" i="21" s="1"/>
  <c r="V19" i="21"/>
  <c r="U19" i="21"/>
  <c r="Y18" i="21"/>
  <c r="AB18" i="21" s="1"/>
  <c r="X18" i="21"/>
  <c r="W18" i="21"/>
  <c r="AA18" i="21" s="1"/>
  <c r="V18" i="21"/>
  <c r="U18" i="21"/>
  <c r="Y17" i="21"/>
  <c r="AB17" i="21" s="1"/>
  <c r="X17" i="21"/>
  <c r="W17" i="21"/>
  <c r="AA17" i="21" s="1"/>
  <c r="V17" i="21"/>
  <c r="U17" i="21"/>
  <c r="Y16" i="21"/>
  <c r="AB16" i="21" s="1"/>
  <c r="X16" i="21"/>
  <c r="W16" i="21"/>
  <c r="AA16" i="21" s="1"/>
  <c r="V16" i="21"/>
  <c r="U16" i="21"/>
  <c r="Y15" i="21"/>
  <c r="AB15" i="21" s="1"/>
  <c r="X15" i="21"/>
  <c r="W15" i="21"/>
  <c r="AA15" i="21" s="1"/>
  <c r="V15" i="21"/>
  <c r="U15" i="21"/>
  <c r="Y14" i="21"/>
  <c r="AB14" i="21" s="1"/>
  <c r="X14" i="21"/>
  <c r="W14" i="21"/>
  <c r="AA14" i="21" s="1"/>
  <c r="V14" i="21"/>
  <c r="U14" i="21"/>
  <c r="Y13" i="21"/>
  <c r="AB13" i="21" s="1"/>
  <c r="X13" i="21"/>
  <c r="W13" i="21"/>
  <c r="AA13" i="21" s="1"/>
  <c r="V13" i="21"/>
  <c r="U13" i="21"/>
  <c r="Y12" i="21"/>
  <c r="AB12" i="21" s="1"/>
  <c r="X12" i="21"/>
  <c r="W12" i="21"/>
  <c r="AA12" i="21" s="1"/>
  <c r="V12" i="21"/>
  <c r="U12" i="21"/>
  <c r="Y11" i="21"/>
  <c r="AB11" i="21" s="1"/>
  <c r="X11" i="21"/>
  <c r="W11" i="21"/>
  <c r="AA11" i="21" s="1"/>
  <c r="V11" i="21"/>
  <c r="U11" i="21"/>
  <c r="Y10" i="21"/>
  <c r="AB10" i="21" s="1"/>
  <c r="X10" i="21"/>
  <c r="W10" i="21"/>
  <c r="AA10" i="21" s="1"/>
  <c r="V10" i="21"/>
  <c r="U10" i="21"/>
  <c r="Y9" i="21"/>
  <c r="AB9" i="21" s="1"/>
  <c r="X9" i="21"/>
  <c r="W9" i="21"/>
  <c r="AA9" i="21" s="1"/>
  <c r="V9" i="21"/>
  <c r="U9" i="21"/>
  <c r="Y8" i="21"/>
  <c r="AB8" i="21" s="1"/>
  <c r="X8" i="21"/>
  <c r="W8" i="21"/>
  <c r="AA8" i="21" s="1"/>
  <c r="V8" i="21"/>
  <c r="U8" i="21"/>
  <c r="Y7" i="21"/>
  <c r="AB7" i="21" s="1"/>
  <c r="X7" i="21"/>
  <c r="W7" i="21"/>
  <c r="AA7" i="21" s="1"/>
  <c r="V7" i="21"/>
  <c r="U7" i="21"/>
  <c r="Y6" i="21"/>
  <c r="AB6" i="21" s="1"/>
  <c r="X6" i="21"/>
  <c r="W6" i="21"/>
  <c r="AA6" i="21" s="1"/>
  <c r="V6" i="21"/>
  <c r="U6" i="21"/>
  <c r="Y5" i="21"/>
  <c r="AB5" i="21" s="1"/>
  <c r="X5" i="21"/>
  <c r="W5" i="21"/>
  <c r="AA5" i="21" s="1"/>
  <c r="V5" i="21"/>
  <c r="U5" i="21"/>
  <c r="Y4" i="21"/>
  <c r="AB4" i="21" s="1"/>
  <c r="X4" i="21"/>
  <c r="W4" i="21"/>
  <c r="AA4" i="21" s="1"/>
  <c r="V4" i="21"/>
  <c r="U4" i="21"/>
  <c r="Y3" i="21"/>
  <c r="AB3" i="21" s="1"/>
  <c r="X3" i="21"/>
  <c r="W3" i="21"/>
  <c r="AA3" i="21" s="1"/>
  <c r="V3" i="21"/>
  <c r="U3" i="21"/>
  <c r="Y2" i="21"/>
  <c r="AB2" i="21" s="1"/>
  <c r="X2" i="21"/>
  <c r="W2" i="21"/>
  <c r="AA2" i="21" s="1"/>
  <c r="V2" i="21"/>
  <c r="U2" i="21"/>
  <c r="AA208" i="21"/>
  <c r="Z169" i="21" l="1"/>
  <c r="V201" i="21"/>
  <c r="Z73" i="21"/>
  <c r="Z121" i="21"/>
  <c r="W201" i="21"/>
  <c r="AA201" i="21" s="1"/>
  <c r="Y201" i="21"/>
  <c r="AB201" i="21" s="1"/>
  <c r="Z60" i="21"/>
  <c r="Z215" i="21"/>
  <c r="Z33" i="21"/>
  <c r="Z112" i="21"/>
  <c r="Z189" i="21"/>
  <c r="AB86" i="21"/>
  <c r="AB28" i="21"/>
  <c r="Z82" i="21"/>
  <c r="Z47" i="21"/>
  <c r="Z87" i="21"/>
  <c r="Z135" i="21"/>
  <c r="Z164" i="21"/>
  <c r="Z188" i="21"/>
  <c r="Z179" i="21"/>
  <c r="Z208" i="21"/>
  <c r="Z67" i="21"/>
  <c r="Z173" i="21"/>
  <c r="Z186" i="21"/>
  <c r="Z106" i="21"/>
  <c r="Z69" i="21"/>
  <c r="Z211" i="21"/>
  <c r="Z194" i="21"/>
  <c r="Z160" i="21"/>
  <c r="Z77" i="21"/>
  <c r="Z42" i="21"/>
  <c r="Z5" i="21"/>
  <c r="Z13" i="21"/>
  <c r="Z21" i="21"/>
  <c r="Z29" i="21"/>
  <c r="Z37" i="21"/>
  <c r="Z61" i="21"/>
  <c r="Z85" i="21"/>
  <c r="Z141" i="21"/>
  <c r="U210" i="21"/>
  <c r="Z210" i="21" s="1"/>
  <c r="W210" i="21"/>
  <c r="AA210" i="21" s="1"/>
  <c r="Z216" i="21"/>
  <c r="Z101" i="21"/>
  <c r="Z203" i="21"/>
  <c r="Z3" i="21"/>
  <c r="Z11" i="21"/>
  <c r="Z19" i="21"/>
  <c r="Z27" i="21"/>
  <c r="Z35" i="21"/>
  <c r="Z43" i="21"/>
  <c r="Z51" i="21"/>
  <c r="Z59" i="21"/>
  <c r="Z163" i="21"/>
  <c r="Z171" i="21"/>
  <c r="Z195" i="21"/>
  <c r="Z187" i="21"/>
  <c r="Z192" i="21"/>
  <c r="Z75" i="21"/>
  <c r="Z83" i="21"/>
  <c r="Z91" i="21"/>
  <c r="Z99" i="21"/>
  <c r="Z107" i="21"/>
  <c r="Z115" i="21"/>
  <c r="Z123" i="21"/>
  <c r="Z131" i="21"/>
  <c r="Z139" i="21"/>
  <c r="Z147" i="21"/>
  <c r="Z155" i="21"/>
  <c r="Z200" i="21"/>
  <c r="Z16" i="21"/>
  <c r="Z32" i="21"/>
  <c r="Z40" i="21"/>
  <c r="Z48" i="21"/>
  <c r="Z80" i="21"/>
  <c r="Z88" i="21"/>
  <c r="Z120" i="21"/>
  <c r="Z128" i="21"/>
  <c r="Z136" i="21"/>
  <c r="Z152" i="21"/>
  <c r="Z165" i="21"/>
  <c r="Z181" i="21"/>
  <c r="Z197" i="21"/>
  <c r="Z205" i="21"/>
  <c r="Z213" i="21"/>
  <c r="Z219" i="21"/>
  <c r="X210" i="21"/>
  <c r="Z8" i="21"/>
  <c r="Z56" i="21"/>
  <c r="Z64" i="21"/>
  <c r="Z72" i="21"/>
  <c r="Z109" i="21"/>
  <c r="Z172" i="21"/>
  <c r="Z212" i="21"/>
  <c r="Z4" i="21"/>
  <c r="Z12" i="21"/>
  <c r="Z20" i="21"/>
  <c r="Z28" i="21"/>
  <c r="Z44" i="21"/>
  <c r="Z52" i="21"/>
  <c r="Z92" i="21"/>
  <c r="Z201" i="21"/>
  <c r="Z217" i="21"/>
  <c r="Z96" i="21"/>
  <c r="Z104" i="21"/>
  <c r="Z50" i="21"/>
  <c r="Z117" i="21"/>
  <c r="Z125" i="21"/>
  <c r="Z133" i="21"/>
  <c r="Z144" i="21"/>
  <c r="Z149" i="21"/>
  <c r="Z157" i="21"/>
  <c r="Z168" i="21"/>
  <c r="Z176" i="21"/>
  <c r="Z184" i="21"/>
  <c r="Z53" i="21"/>
  <c r="Z93" i="21"/>
  <c r="Z162" i="21"/>
  <c r="Z105" i="21"/>
  <c r="Z45" i="21"/>
  <c r="Z7" i="21"/>
  <c r="Z39" i="21"/>
  <c r="Z111" i="21"/>
  <c r="Z207" i="21"/>
  <c r="Z18" i="21"/>
  <c r="Z122" i="21"/>
  <c r="Z130" i="21"/>
  <c r="Z138" i="21"/>
  <c r="Z146" i="21"/>
  <c r="Z154" i="21"/>
  <c r="Z170" i="21"/>
  <c r="Z202" i="21"/>
  <c r="Z68" i="21"/>
  <c r="Z76" i="21"/>
  <c r="Z84" i="21"/>
  <c r="Z100" i="21"/>
  <c r="Z108" i="21"/>
  <c r="Z116" i="21"/>
  <c r="Z124" i="21"/>
  <c r="Z132" i="21"/>
  <c r="Z140" i="21"/>
  <c r="Z148" i="21"/>
  <c r="Z156" i="21"/>
  <c r="Z167" i="21"/>
  <c r="Z180" i="21"/>
  <c r="Z196" i="21"/>
  <c r="Z204" i="21"/>
  <c r="Z9" i="21"/>
  <c r="Z17" i="21"/>
  <c r="Z25" i="21"/>
  <c r="Z41" i="21"/>
  <c r="Z49" i="21"/>
  <c r="Z57" i="21"/>
  <c r="Z65" i="21"/>
  <c r="Z81" i="21"/>
  <c r="Z89" i="21"/>
  <c r="Z97" i="21"/>
  <c r="Z113" i="21"/>
  <c r="Z129" i="21"/>
  <c r="Z137" i="21"/>
  <c r="Z145" i="21"/>
  <c r="Z153" i="21"/>
  <c r="Z161" i="21"/>
  <c r="Z177" i="21"/>
  <c r="Z185" i="21"/>
  <c r="Z193" i="21"/>
  <c r="Z209" i="21"/>
  <c r="Z26" i="21"/>
  <c r="Z66" i="21"/>
  <c r="Z90" i="21"/>
  <c r="Z2" i="21"/>
  <c r="Z34" i="21"/>
  <c r="Z58" i="21"/>
  <c r="Z74" i="21"/>
  <c r="Z24" i="21"/>
  <c r="Z10" i="21"/>
  <c r="Z98" i="21"/>
  <c r="Z114" i="21"/>
  <c r="Z178" i="21"/>
  <c r="Z218" i="21"/>
  <c r="Z127" i="21"/>
  <c r="Z151" i="21"/>
  <c r="Z159" i="21"/>
  <c r="Z175" i="21"/>
  <c r="Z183" i="21"/>
  <c r="Z191" i="21"/>
  <c r="Z199" i="21"/>
  <c r="Z15" i="21"/>
  <c r="Z63" i="21"/>
  <c r="Z31" i="21"/>
  <c r="Z55" i="21"/>
  <c r="Z79" i="21"/>
  <c r="Z95" i="21"/>
  <c r="Z103" i="21"/>
  <c r="Z119" i="21"/>
  <c r="Z143" i="21"/>
  <c r="Z71" i="21"/>
  <c r="Z23" i="21"/>
  <c r="Z6" i="21"/>
  <c r="Z14" i="21"/>
  <c r="Z22" i="21"/>
  <c r="Z30" i="21"/>
  <c r="Z38" i="21"/>
  <c r="Z46" i="21"/>
  <c r="Z54" i="21"/>
  <c r="Z62" i="21"/>
  <c r="Z70" i="21"/>
  <c r="Z78" i="21"/>
  <c r="Z86" i="21"/>
  <c r="Z94" i="21"/>
  <c r="Z102" i="21"/>
  <c r="Z110" i="21"/>
  <c r="Z118" i="21"/>
  <c r="Z126" i="21"/>
  <c r="Z134" i="21"/>
  <c r="Z142" i="21"/>
  <c r="Z150" i="21"/>
  <c r="Z158" i="21"/>
  <c r="Z166" i="21"/>
  <c r="Z174" i="21"/>
  <c r="Z182" i="21"/>
  <c r="Z190" i="21"/>
  <c r="Z198" i="21"/>
  <c r="Z206" i="21"/>
  <c r="Z214" i="21"/>
  <c r="AS2" i="57" l="1"/>
  <c r="AS3" i="57"/>
  <c r="AS11" i="57"/>
  <c r="AS5" i="57"/>
  <c r="AS4" i="57"/>
  <c r="AS12" i="57"/>
  <c r="AS6" i="57"/>
  <c r="AS14" i="57"/>
  <c r="AS10" i="57"/>
  <c r="AS7" i="57"/>
  <c r="AS15" i="57"/>
  <c r="AS8" i="57"/>
  <c r="AS13" i="57"/>
  <c r="AS16" i="57"/>
  <c r="AS9" i="57"/>
  <c r="O219" i="21"/>
  <c r="O218" i="21"/>
  <c r="O217" i="21"/>
  <c r="O216" i="21"/>
  <c r="O215" i="21"/>
  <c r="O214" i="21"/>
  <c r="O213" i="21"/>
  <c r="O212" i="21"/>
  <c r="O211" i="21"/>
  <c r="O210" i="21"/>
  <c r="O209" i="21"/>
  <c r="O208" i="21"/>
  <c r="O207" i="21"/>
  <c r="O206" i="21"/>
  <c r="O205" i="21"/>
  <c r="O204" i="21"/>
  <c r="O203" i="21"/>
  <c r="O202" i="21"/>
  <c r="O201" i="21"/>
  <c r="O200" i="21"/>
  <c r="O199" i="21"/>
  <c r="O198" i="21"/>
  <c r="O197" i="21"/>
  <c r="O196" i="21"/>
  <c r="O195" i="21"/>
  <c r="O194" i="21"/>
  <c r="O193" i="21"/>
  <c r="O192" i="21"/>
  <c r="O191" i="21"/>
  <c r="O190" i="21"/>
  <c r="O189" i="21"/>
  <c r="O188" i="21"/>
  <c r="O187" i="21"/>
  <c r="O186" i="21"/>
  <c r="O185" i="21"/>
  <c r="O184" i="21"/>
  <c r="O183" i="21"/>
  <c r="O182" i="21"/>
  <c r="O181" i="21"/>
  <c r="O180" i="21"/>
  <c r="O179" i="21"/>
  <c r="O178" i="21"/>
  <c r="O177" i="21"/>
  <c r="O176" i="21"/>
  <c r="O175" i="21"/>
  <c r="O174" i="21"/>
  <c r="O173" i="21"/>
  <c r="O172" i="21"/>
  <c r="O171" i="21"/>
  <c r="O170" i="21"/>
  <c r="O169" i="21"/>
  <c r="O168" i="21"/>
  <c r="O167" i="21"/>
  <c r="O166" i="21"/>
  <c r="O165" i="21"/>
  <c r="O164" i="21"/>
  <c r="O163" i="21"/>
  <c r="O162" i="21"/>
  <c r="O161" i="21"/>
  <c r="O160" i="21"/>
  <c r="O159" i="21"/>
  <c r="O158" i="21"/>
  <c r="O157" i="21"/>
  <c r="O156" i="21"/>
  <c r="O155" i="21"/>
  <c r="O154" i="21"/>
  <c r="O153" i="21"/>
  <c r="O152" i="21"/>
  <c r="O151" i="21"/>
  <c r="O150" i="21"/>
  <c r="O149" i="21"/>
  <c r="O148" i="21"/>
  <c r="O147" i="21"/>
  <c r="O146" i="21"/>
  <c r="O145" i="21"/>
  <c r="O144" i="21"/>
  <c r="O143" i="21"/>
  <c r="O142" i="21"/>
  <c r="O141" i="21"/>
  <c r="O140" i="21"/>
  <c r="O139" i="21"/>
  <c r="O138" i="21"/>
  <c r="O137" i="21"/>
  <c r="O136" i="21"/>
  <c r="O135" i="21"/>
  <c r="O134" i="21"/>
  <c r="O133" i="21"/>
  <c r="O132" i="21"/>
  <c r="O131" i="21"/>
  <c r="O130" i="21"/>
  <c r="O129" i="21"/>
  <c r="O128" i="21"/>
  <c r="O127" i="21"/>
  <c r="O126" i="21"/>
  <c r="O125" i="21"/>
  <c r="O124" i="21"/>
  <c r="O123" i="21"/>
  <c r="O122" i="21"/>
  <c r="O121" i="21"/>
  <c r="O120" i="21"/>
  <c r="O119" i="21"/>
  <c r="O118" i="21"/>
  <c r="O117" i="21"/>
  <c r="O116" i="21"/>
  <c r="O115" i="21"/>
  <c r="O114" i="21"/>
  <c r="O113" i="21"/>
  <c r="O112" i="21"/>
  <c r="O111" i="21"/>
  <c r="O110" i="21"/>
  <c r="O109" i="21"/>
  <c r="O108" i="21"/>
  <c r="O107" i="21"/>
  <c r="O106" i="21"/>
  <c r="O105" i="21"/>
  <c r="O104" i="21"/>
  <c r="O103" i="21"/>
  <c r="O102" i="21"/>
  <c r="O101" i="21"/>
  <c r="O100" i="21"/>
  <c r="O99" i="21"/>
  <c r="O98" i="21"/>
  <c r="O97" i="21"/>
  <c r="O96" i="21"/>
  <c r="O95" i="21"/>
  <c r="O94" i="21"/>
  <c r="O93" i="21"/>
  <c r="O92" i="21"/>
  <c r="O91" i="21"/>
  <c r="O90" i="21"/>
  <c r="O89" i="21"/>
  <c r="O88" i="21"/>
  <c r="O87" i="21"/>
  <c r="O86" i="21"/>
  <c r="O85" i="21"/>
  <c r="O84" i="21"/>
  <c r="O83" i="21"/>
  <c r="O82" i="21"/>
  <c r="O81" i="21"/>
  <c r="O80" i="21"/>
  <c r="O79" i="21"/>
  <c r="O78" i="21"/>
  <c r="O77" i="21"/>
  <c r="O76" i="21"/>
  <c r="O75" i="21"/>
  <c r="O74" i="21"/>
  <c r="O73" i="21"/>
  <c r="O72" i="21"/>
  <c r="O71" i="21"/>
  <c r="O70" i="21"/>
  <c r="O69" i="21"/>
  <c r="O68" i="21"/>
  <c r="O67" i="21"/>
  <c r="O66" i="21"/>
  <c r="O65" i="21"/>
  <c r="O64" i="21"/>
  <c r="O63" i="21"/>
  <c r="O62" i="21"/>
  <c r="O61" i="21"/>
  <c r="O60" i="21"/>
  <c r="O59" i="21"/>
  <c r="O58" i="21"/>
  <c r="O57" i="21"/>
  <c r="O56" i="21"/>
  <c r="O55" i="21"/>
  <c r="O54" i="21"/>
  <c r="O53" i="21"/>
  <c r="O52" i="21"/>
  <c r="O51" i="21"/>
  <c r="O50" i="21"/>
  <c r="O49" i="21"/>
  <c r="O48" i="21"/>
  <c r="O47" i="21"/>
  <c r="O46" i="21"/>
  <c r="O45" i="21"/>
  <c r="O44" i="21"/>
  <c r="O43" i="21"/>
  <c r="O42" i="21"/>
  <c r="O41" i="21"/>
  <c r="O40" i="21"/>
  <c r="O39" i="21"/>
  <c r="O38" i="21"/>
  <c r="O37"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O7" i="21"/>
  <c r="O6" i="21"/>
  <c r="O5" i="21"/>
  <c r="O4" i="21"/>
  <c r="O3" i="21"/>
  <c r="O2" i="21"/>
  <c r="G154" i="17"/>
  <c r="G153" i="17"/>
  <c r="G152" i="17"/>
  <c r="G151" i="17"/>
  <c r="G150" i="17"/>
  <c r="G149" i="17"/>
  <c r="G148" i="17"/>
  <c r="G147" i="17"/>
  <c r="G146" i="17"/>
  <c r="G145" i="17"/>
  <c r="G144" i="17"/>
  <c r="G143" i="17"/>
  <c r="G142" i="17"/>
  <c r="G141" i="17"/>
  <c r="G140" i="17"/>
  <c r="G139" i="17"/>
  <c r="G138" i="17"/>
  <c r="G137" i="17"/>
  <c r="G136" i="17"/>
  <c r="G135" i="17"/>
  <c r="G134" i="17"/>
  <c r="G133" i="17"/>
  <c r="G132" i="17"/>
  <c r="G131" i="17"/>
  <c r="G130" i="17"/>
  <c r="G129" i="17"/>
  <c r="G128" i="17"/>
  <c r="G127" i="17"/>
  <c r="G126" i="17"/>
  <c r="G125" i="17"/>
  <c r="G124" i="17"/>
  <c r="G123" i="17"/>
  <c r="G122" i="17"/>
  <c r="G121" i="17"/>
  <c r="G120" i="17"/>
  <c r="G119" i="17"/>
  <c r="G118" i="17"/>
  <c r="G117" i="17"/>
  <c r="G116" i="17"/>
  <c r="G115" i="17"/>
  <c r="G114" i="17"/>
  <c r="G113" i="17"/>
  <c r="G112" i="17"/>
  <c r="G111" i="17"/>
  <c r="G110" i="17"/>
  <c r="G109" i="17"/>
  <c r="G108" i="17"/>
  <c r="G107" i="17"/>
  <c r="G106" i="17"/>
  <c r="G105" i="17"/>
  <c r="G104" i="17"/>
  <c r="G103" i="17"/>
  <c r="G102" i="17"/>
  <c r="G101" i="17"/>
  <c r="G100" i="17"/>
  <c r="G99" i="17"/>
  <c r="G98" i="17"/>
  <c r="G97" i="17"/>
  <c r="G96" i="17"/>
  <c r="G95" i="17"/>
  <c r="G94" i="17"/>
  <c r="G93" i="17"/>
  <c r="G92" i="17"/>
  <c r="G91" i="17"/>
  <c r="G90" i="17"/>
  <c r="G89" i="17"/>
  <c r="G88" i="17"/>
  <c r="G87" i="17"/>
  <c r="G86" i="17"/>
  <c r="G85" i="17"/>
  <c r="G84" i="17"/>
  <c r="G83" i="17"/>
  <c r="G82" i="17"/>
  <c r="G81" i="17"/>
  <c r="G80" i="17"/>
  <c r="G79" i="17"/>
  <c r="G78" i="17"/>
  <c r="G77" i="17"/>
  <c r="G76" i="17"/>
  <c r="G75" i="17"/>
  <c r="G74" i="17"/>
  <c r="G73" i="17"/>
  <c r="G72" i="17"/>
  <c r="G71" i="17"/>
  <c r="G70" i="17"/>
  <c r="G69" i="17"/>
  <c r="G68" i="17"/>
  <c r="G67" i="17"/>
  <c r="G66" i="17"/>
  <c r="G65" i="17"/>
  <c r="G64" i="17"/>
  <c r="G63" i="17"/>
  <c r="G62" i="17"/>
  <c r="G61" i="17"/>
  <c r="G60" i="17"/>
  <c r="G59" i="17"/>
  <c r="G58" i="17"/>
  <c r="G57" i="17"/>
  <c r="G56" i="17"/>
  <c r="G55" i="17"/>
  <c r="G54" i="17"/>
  <c r="G53" i="17"/>
  <c r="G52" i="17"/>
  <c r="G51" i="17"/>
  <c r="G50" i="17"/>
  <c r="G49" i="17"/>
  <c r="G48" i="17"/>
  <c r="G47" i="17"/>
  <c r="G46" i="17"/>
  <c r="G45" i="17"/>
  <c r="G44" i="17"/>
  <c r="G43" i="17"/>
  <c r="G42" i="17"/>
  <c r="G41" i="17"/>
  <c r="G40" i="17"/>
  <c r="G39" i="17"/>
  <c r="G38" i="17"/>
  <c r="G37" i="17"/>
  <c r="G36" i="17"/>
  <c r="G35" i="17"/>
  <c r="G34" i="17"/>
  <c r="G33" i="17"/>
  <c r="G32" i="17"/>
  <c r="G31" i="17"/>
  <c r="G30" i="17"/>
  <c r="G29" i="17"/>
  <c r="G28" i="17"/>
  <c r="G27" i="17"/>
  <c r="G26" i="17"/>
  <c r="G25" i="17"/>
  <c r="G24" i="17"/>
  <c r="G23" i="17"/>
  <c r="G22" i="17"/>
  <c r="G21" i="17"/>
  <c r="G20" i="17"/>
  <c r="G19" i="17"/>
  <c r="G18" i="17"/>
  <c r="G17" i="17"/>
  <c r="G16" i="17"/>
  <c r="G15" i="17"/>
  <c r="G14" i="17"/>
  <c r="G13" i="17"/>
  <c r="G12" i="17"/>
  <c r="G11" i="17"/>
  <c r="G10" i="17"/>
  <c r="G9" i="17"/>
  <c r="G8" i="17"/>
  <c r="G7" i="17"/>
  <c r="G6" i="17"/>
  <c r="G5" i="17"/>
  <c r="G4" i="17"/>
  <c r="G3" i="17"/>
  <c r="G2" i="17"/>
  <c r="H204" i="15"/>
  <c r="H203" i="15"/>
  <c r="H202" i="15"/>
  <c r="H201" i="15"/>
  <c r="H200" i="15"/>
  <c r="H199" i="15"/>
  <c r="H198" i="15"/>
  <c r="H197" i="15"/>
  <c r="H196" i="15"/>
  <c r="H195" i="15"/>
  <c r="H194" i="15"/>
  <c r="H193" i="15"/>
  <c r="H192" i="15"/>
  <c r="H191" i="15"/>
  <c r="H190" i="15"/>
  <c r="H189" i="15"/>
  <c r="H188" i="15"/>
  <c r="H187" i="15"/>
  <c r="H186" i="15"/>
  <c r="H185" i="15"/>
  <c r="H184" i="15"/>
  <c r="H183" i="15"/>
  <c r="H182" i="15"/>
  <c r="H181" i="15"/>
  <c r="H180" i="15"/>
  <c r="H179" i="15"/>
  <c r="H178" i="15"/>
  <c r="H177" i="15"/>
  <c r="H176" i="15"/>
  <c r="H175" i="15"/>
  <c r="H174" i="15"/>
  <c r="H173" i="15"/>
  <c r="H172" i="15"/>
  <c r="H171" i="15"/>
  <c r="H170" i="15"/>
  <c r="H169" i="15"/>
  <c r="H168" i="15"/>
  <c r="H167" i="15"/>
  <c r="H166" i="15"/>
  <c r="H165" i="15"/>
  <c r="H164" i="15"/>
  <c r="H163" i="15"/>
  <c r="H162" i="15"/>
  <c r="H161" i="15"/>
  <c r="H160" i="15"/>
  <c r="H159" i="15"/>
  <c r="H158" i="15"/>
  <c r="H157" i="15"/>
  <c r="H156" i="15"/>
  <c r="H155" i="15"/>
  <c r="H154" i="15"/>
  <c r="H153" i="15"/>
  <c r="H152" i="15"/>
  <c r="H151" i="15"/>
  <c r="H150" i="15"/>
  <c r="H149" i="15"/>
  <c r="H148" i="15"/>
  <c r="H147" i="15"/>
  <c r="H146" i="15"/>
  <c r="H145" i="15"/>
  <c r="H144" i="15"/>
  <c r="H143" i="15"/>
  <c r="H142" i="15"/>
  <c r="H141" i="15"/>
  <c r="H140" i="15"/>
  <c r="H139" i="15"/>
  <c r="H138" i="15"/>
  <c r="H137" i="15"/>
  <c r="H136" i="15"/>
  <c r="H135" i="15"/>
  <c r="H134" i="15"/>
  <c r="H133" i="15"/>
  <c r="H132" i="15"/>
  <c r="H131" i="15"/>
  <c r="H130" i="15"/>
  <c r="H129" i="15"/>
  <c r="H128" i="15"/>
  <c r="H127" i="15"/>
  <c r="H126" i="15"/>
  <c r="H125" i="15"/>
  <c r="H124" i="15"/>
  <c r="H123" i="15"/>
  <c r="H122" i="15"/>
  <c r="H121" i="15"/>
  <c r="H120" i="15"/>
  <c r="H119" i="15"/>
  <c r="H118" i="15"/>
  <c r="H117" i="15"/>
  <c r="H116" i="15"/>
  <c r="H115" i="15"/>
  <c r="H114" i="15"/>
  <c r="H113" i="15"/>
  <c r="H112" i="15"/>
  <c r="H111" i="15"/>
  <c r="H110" i="15"/>
  <c r="H109" i="15"/>
  <c r="H108" i="15"/>
  <c r="H107" i="15"/>
  <c r="H106" i="15"/>
  <c r="H105" i="15"/>
  <c r="H104" i="15"/>
  <c r="H103" i="15"/>
  <c r="H102" i="15"/>
  <c r="H101" i="15"/>
  <c r="H100" i="15"/>
  <c r="H99" i="15"/>
  <c r="H98" i="15"/>
  <c r="H97" i="15"/>
  <c r="H96" i="15"/>
  <c r="H95" i="15"/>
  <c r="H94" i="15"/>
  <c r="H93" i="15"/>
  <c r="H92" i="15"/>
  <c r="H91" i="15"/>
  <c r="H90" i="15"/>
  <c r="H89" i="15"/>
  <c r="H88" i="15"/>
  <c r="H87" i="15"/>
  <c r="H86" i="15"/>
  <c r="H85" i="15"/>
  <c r="H84" i="15"/>
  <c r="H83" i="15"/>
  <c r="H82" i="15"/>
  <c r="H81" i="15"/>
  <c r="H80" i="15"/>
  <c r="H79" i="15"/>
  <c r="H78" i="15"/>
  <c r="H77" i="15"/>
  <c r="H76" i="15"/>
  <c r="H75" i="15"/>
  <c r="H74" i="15"/>
  <c r="H73" i="15"/>
  <c r="H72" i="15"/>
  <c r="H71" i="15"/>
  <c r="H70" i="15"/>
  <c r="H69" i="15"/>
  <c r="H68" i="15"/>
  <c r="H67" i="15"/>
  <c r="H66" i="15"/>
  <c r="H65" i="15"/>
  <c r="H64" i="15"/>
  <c r="H63" i="15"/>
  <c r="H62" i="15"/>
  <c r="H61" i="15"/>
  <c r="H60" i="15"/>
  <c r="H59" i="15"/>
  <c r="H58" i="15"/>
  <c r="H57" i="15"/>
  <c r="H56" i="15"/>
  <c r="H55" i="15"/>
  <c r="H54" i="15"/>
  <c r="H53" i="15"/>
  <c r="H52" i="15"/>
  <c r="H51" i="15"/>
  <c r="H50" i="15"/>
  <c r="H49" i="15"/>
  <c r="H48" i="15"/>
  <c r="H47" i="15"/>
  <c r="H46" i="15"/>
  <c r="H45" i="15"/>
  <c r="H44" i="15"/>
  <c r="H43" i="15"/>
  <c r="H42" i="15"/>
  <c r="H41" i="15"/>
  <c r="H40" i="15"/>
  <c r="H39" i="15"/>
  <c r="H38" i="15"/>
  <c r="H37" i="15"/>
  <c r="H36" i="15"/>
  <c r="H35" i="15"/>
  <c r="H34" i="15"/>
  <c r="H33" i="15"/>
  <c r="H32" i="15"/>
  <c r="H31" i="15"/>
  <c r="H30" i="15"/>
  <c r="H29" i="15"/>
  <c r="H28" i="15"/>
  <c r="H27" i="15"/>
  <c r="H26" i="15"/>
  <c r="H25" i="15"/>
  <c r="H24" i="15"/>
  <c r="H23" i="15"/>
  <c r="H22" i="15"/>
  <c r="H21" i="15"/>
  <c r="H20" i="15"/>
  <c r="H19" i="15"/>
  <c r="H18" i="15"/>
  <c r="H17" i="15"/>
  <c r="H16" i="15"/>
  <c r="H15" i="15"/>
  <c r="H14" i="15"/>
  <c r="H13" i="15"/>
  <c r="H12" i="15"/>
  <c r="H11" i="15"/>
  <c r="H10" i="15"/>
  <c r="H9" i="15"/>
  <c r="H8" i="15"/>
  <c r="H7" i="15"/>
  <c r="H6" i="15"/>
  <c r="H5" i="15"/>
  <c r="H4" i="15"/>
  <c r="H3" i="15"/>
  <c r="H2" i="15"/>
  <c r="AE16" i="57" a="1"/>
  <c r="AE16" i="57" s="1"/>
  <c r="AD16" i="57" a="1"/>
  <c r="AD16" i="57" s="1"/>
  <c r="AC16" i="57" a="1"/>
  <c r="AC16" i="57" s="1"/>
  <c r="AB16" i="57" a="1"/>
  <c r="AB16" i="57" s="1"/>
  <c r="AA16" i="57" a="1"/>
  <c r="AA16" i="57" s="1"/>
  <c r="Z16" i="57" a="1"/>
  <c r="Z16" i="57" s="1"/>
  <c r="Y16" i="57" a="1"/>
  <c r="Y16" i="57" s="1"/>
  <c r="X16" i="57" a="1"/>
  <c r="X16" i="57" s="1"/>
  <c r="W16" i="57" a="1"/>
  <c r="W16" i="57" s="1"/>
  <c r="V16" i="57" a="1"/>
  <c r="V16" i="57" s="1"/>
  <c r="U16" i="57" a="1"/>
  <c r="U16" i="57" s="1"/>
  <c r="T16" i="57" a="1"/>
  <c r="T16" i="57" s="1"/>
  <c r="S16" i="57" a="1"/>
  <c r="S16" i="57" s="1"/>
  <c r="R16" i="57" a="1"/>
  <c r="R16" i="57" s="1"/>
  <c r="Q16" i="57" a="1"/>
  <c r="Q16" i="57" s="1"/>
  <c r="P16" i="57" a="1"/>
  <c r="P16" i="57" s="1"/>
  <c r="O16" i="57" a="1"/>
  <c r="O16" i="57" s="1"/>
  <c r="N16" i="57" a="1"/>
  <c r="N16" i="57" s="1"/>
  <c r="M16" i="57" a="1"/>
  <c r="M16" i="57" s="1"/>
  <c r="AE15" i="57" a="1"/>
  <c r="AE15" i="57" s="1"/>
  <c r="AD15" i="57" a="1"/>
  <c r="AD15" i="57" s="1"/>
  <c r="AC15" i="57" a="1"/>
  <c r="AC15" i="57" s="1"/>
  <c r="AB15" i="57" a="1"/>
  <c r="AB15" i="57" s="1"/>
  <c r="AA15" i="57" a="1"/>
  <c r="AA15" i="57" s="1"/>
  <c r="Z15" i="57" a="1"/>
  <c r="Z15" i="57" s="1"/>
  <c r="Y15" i="57" a="1"/>
  <c r="Y15" i="57" s="1"/>
  <c r="X15" i="57" a="1"/>
  <c r="X15" i="57" s="1"/>
  <c r="W15" i="57" a="1"/>
  <c r="W15" i="57" s="1"/>
  <c r="V15" i="57" a="1"/>
  <c r="V15" i="57" s="1"/>
  <c r="U15" i="57" a="1"/>
  <c r="U15" i="57" s="1"/>
  <c r="T15" i="57" a="1"/>
  <c r="T15" i="57" s="1"/>
  <c r="S15" i="57" a="1"/>
  <c r="S15" i="57" s="1"/>
  <c r="R15" i="57" a="1"/>
  <c r="R15" i="57" s="1"/>
  <c r="Q15" i="57" a="1"/>
  <c r="Q15" i="57" s="1"/>
  <c r="P15" i="57" a="1"/>
  <c r="P15" i="57" s="1"/>
  <c r="O15" i="57" a="1"/>
  <c r="O15" i="57" s="1"/>
  <c r="N15" i="57" a="1"/>
  <c r="N15" i="57" s="1"/>
  <c r="M15" i="57" a="1"/>
  <c r="M15" i="57" s="1"/>
  <c r="AE14" i="57" a="1"/>
  <c r="AE14" i="57" s="1"/>
  <c r="AD14" i="57" a="1"/>
  <c r="AD14" i="57" s="1"/>
  <c r="AC14" i="57" a="1"/>
  <c r="AC14" i="57" s="1"/>
  <c r="AB14" i="57" a="1"/>
  <c r="AB14" i="57" s="1"/>
  <c r="AA14" i="57" a="1"/>
  <c r="AA14" i="57" s="1"/>
  <c r="Z14" i="57" a="1"/>
  <c r="Z14" i="57" s="1"/>
  <c r="Y14" i="57" a="1"/>
  <c r="Y14" i="57" s="1"/>
  <c r="X14" i="57" a="1"/>
  <c r="X14" i="57" s="1"/>
  <c r="W14" i="57" a="1"/>
  <c r="W14" i="57" s="1"/>
  <c r="V14" i="57" a="1"/>
  <c r="V14" i="57" s="1"/>
  <c r="U14" i="57" a="1"/>
  <c r="U14" i="57" s="1"/>
  <c r="T14" i="57" a="1"/>
  <c r="T14" i="57" s="1"/>
  <c r="S14" i="57" a="1"/>
  <c r="S14" i="57" s="1"/>
  <c r="R14" i="57" a="1"/>
  <c r="R14" i="57" s="1"/>
  <c r="Q14" i="57" a="1"/>
  <c r="Q14" i="57" s="1"/>
  <c r="P14" i="57" a="1"/>
  <c r="P14" i="57" s="1"/>
  <c r="O14" i="57" a="1"/>
  <c r="O14" i="57" s="1"/>
  <c r="N14" i="57" a="1"/>
  <c r="N14" i="57" s="1"/>
  <c r="M14" i="57" a="1"/>
  <c r="M14" i="57" s="1"/>
  <c r="AE13" i="57" a="1"/>
  <c r="AE13" i="57" s="1"/>
  <c r="AD13" i="57" a="1"/>
  <c r="AD13" i="57" s="1"/>
  <c r="AC13" i="57" a="1"/>
  <c r="AC13" i="57" s="1"/>
  <c r="AB13" i="57" a="1"/>
  <c r="AB13" i="57" s="1"/>
  <c r="AA13" i="57" a="1"/>
  <c r="AA13" i="57" s="1"/>
  <c r="Z13" i="57" a="1"/>
  <c r="Z13" i="57" s="1"/>
  <c r="Y13" i="57" a="1"/>
  <c r="Y13" i="57" s="1"/>
  <c r="X13" i="57" a="1"/>
  <c r="X13" i="57" s="1"/>
  <c r="W13" i="57" a="1"/>
  <c r="W13" i="57" s="1"/>
  <c r="V13" i="57" a="1"/>
  <c r="V13" i="57" s="1"/>
  <c r="U13" i="57" a="1"/>
  <c r="U13" i="57" s="1"/>
  <c r="T13" i="57" a="1"/>
  <c r="T13" i="57" s="1"/>
  <c r="S13" i="57" a="1"/>
  <c r="S13" i="57" s="1"/>
  <c r="R13" i="57" a="1"/>
  <c r="R13" i="57" s="1"/>
  <c r="Q13" i="57" a="1"/>
  <c r="Q13" i="57" s="1"/>
  <c r="P13" i="57" a="1"/>
  <c r="P13" i="57" s="1"/>
  <c r="O13" i="57" a="1"/>
  <c r="O13" i="57" s="1"/>
  <c r="N13" i="57" a="1"/>
  <c r="N13" i="57" s="1"/>
  <c r="M13" i="57" a="1"/>
  <c r="M13" i="57" s="1"/>
  <c r="AE12" i="57" a="1"/>
  <c r="AE12" i="57" s="1"/>
  <c r="AE11" i="57" a="1"/>
  <c r="AE11" i="57" s="1"/>
  <c r="AE10" i="57" a="1"/>
  <c r="AE10" i="57" s="1"/>
  <c r="AE9" i="57" a="1"/>
  <c r="AE9" i="57" s="1"/>
  <c r="AE8" i="57" a="1"/>
  <c r="AE8" i="57" s="1"/>
  <c r="AD8" i="57" a="1"/>
  <c r="AD8" i="57" s="1"/>
  <c r="AC8" i="57" a="1"/>
  <c r="AC8" i="57" s="1"/>
  <c r="AB8" i="57" a="1"/>
  <c r="AB8" i="57" s="1"/>
  <c r="AA8" i="57" a="1"/>
  <c r="AA8" i="57" s="1"/>
  <c r="Z8" i="57" a="1"/>
  <c r="Z8" i="57" s="1"/>
  <c r="Y8" i="57" a="1"/>
  <c r="Y8" i="57" s="1"/>
  <c r="X8" i="57" a="1"/>
  <c r="X8" i="57" s="1"/>
  <c r="W8" i="57" a="1"/>
  <c r="W8" i="57" s="1"/>
  <c r="V8" i="57" a="1"/>
  <c r="V8" i="57" s="1"/>
  <c r="U8" i="57" a="1"/>
  <c r="U8" i="57" s="1"/>
  <c r="T8" i="57" a="1"/>
  <c r="T8" i="57" s="1"/>
  <c r="S8" i="57" a="1"/>
  <c r="S8" i="57" s="1"/>
  <c r="R8" i="57" a="1"/>
  <c r="R8" i="57" s="1"/>
  <c r="Q8" i="57" a="1"/>
  <c r="Q8" i="57" s="1"/>
  <c r="P8" i="57" a="1"/>
  <c r="P8" i="57" s="1"/>
  <c r="O8" i="57" a="1"/>
  <c r="O8" i="57" s="1"/>
  <c r="N8" i="57" a="1"/>
  <c r="N8" i="57" s="1"/>
  <c r="M8" i="57" a="1"/>
  <c r="M8" i="57" s="1"/>
  <c r="AE7" i="57" a="1"/>
  <c r="AE7" i="57" s="1"/>
  <c r="AD7" i="57" a="1"/>
  <c r="AD7" i="57" s="1"/>
  <c r="AC7" i="57" a="1"/>
  <c r="AC7" i="57" s="1"/>
  <c r="AB7" i="57" a="1"/>
  <c r="AB7" i="57" s="1"/>
  <c r="AA7" i="57" a="1"/>
  <c r="AA7" i="57" s="1"/>
  <c r="Z7" i="57" a="1"/>
  <c r="Z7" i="57" s="1"/>
  <c r="Y7" i="57" a="1"/>
  <c r="Y7" i="57" s="1"/>
  <c r="X7" i="57" a="1"/>
  <c r="X7" i="57" s="1"/>
  <c r="W7" i="57" a="1"/>
  <c r="W7" i="57" s="1"/>
  <c r="V7" i="57" a="1"/>
  <c r="V7" i="57" s="1"/>
  <c r="U7" i="57" a="1"/>
  <c r="U7" i="57" s="1"/>
  <c r="T7" i="57" a="1"/>
  <c r="T7" i="57" s="1"/>
  <c r="S7" i="57" a="1"/>
  <c r="S7" i="57" s="1"/>
  <c r="R7" i="57" a="1"/>
  <c r="R7" i="57" s="1"/>
  <c r="Q7" i="57" a="1"/>
  <c r="Q7" i="57" s="1"/>
  <c r="P7" i="57" a="1"/>
  <c r="P7" i="57" s="1"/>
  <c r="O7" i="57" a="1"/>
  <c r="O7" i="57" s="1"/>
  <c r="N7" i="57" a="1"/>
  <c r="N7" i="57" s="1"/>
  <c r="M7" i="57" a="1"/>
  <c r="M7" i="57" s="1"/>
  <c r="AE6" i="57" a="1"/>
  <c r="AE6" i="57" s="1"/>
  <c r="AD6" i="57" a="1"/>
  <c r="AD6" i="57" s="1"/>
  <c r="AC6" i="57" a="1"/>
  <c r="AC6" i="57" s="1"/>
  <c r="AB6" i="57" a="1"/>
  <c r="AB6" i="57" s="1"/>
  <c r="AA6" i="57" a="1"/>
  <c r="AA6" i="57" s="1"/>
  <c r="Z6" i="57" a="1"/>
  <c r="Z6" i="57" s="1"/>
  <c r="Y6" i="57" a="1"/>
  <c r="Y6" i="57" s="1"/>
  <c r="X6" i="57" a="1"/>
  <c r="X6" i="57" s="1"/>
  <c r="W6" i="57" a="1"/>
  <c r="W6" i="57" s="1"/>
  <c r="V6" i="57" a="1"/>
  <c r="V6" i="57" s="1"/>
  <c r="U6" i="57" a="1"/>
  <c r="U6" i="57" s="1"/>
  <c r="T6" i="57" a="1"/>
  <c r="T6" i="57" s="1"/>
  <c r="S6" i="57" a="1"/>
  <c r="S6" i="57" s="1"/>
  <c r="R6" i="57" a="1"/>
  <c r="R6" i="57" s="1"/>
  <c r="Q6" i="57" a="1"/>
  <c r="Q6" i="57" s="1"/>
  <c r="P6" i="57" a="1"/>
  <c r="P6" i="57" s="1"/>
  <c r="O6" i="57" a="1"/>
  <c r="O6" i="57" s="1"/>
  <c r="N6" i="57" a="1"/>
  <c r="N6" i="57" s="1"/>
  <c r="M6" i="57" a="1"/>
  <c r="M6" i="57" s="1"/>
  <c r="AE5" i="57" a="1"/>
  <c r="AE5" i="57" s="1"/>
  <c r="AD5" i="57" a="1"/>
  <c r="AD5" i="57" s="1"/>
  <c r="AC5" i="57" a="1"/>
  <c r="AC5" i="57" s="1"/>
  <c r="AB5" i="57" a="1"/>
  <c r="AB5" i="57" s="1"/>
  <c r="AA5" i="57" a="1"/>
  <c r="AA5" i="57" s="1"/>
  <c r="Z5" i="57" a="1"/>
  <c r="Z5" i="57" s="1"/>
  <c r="Y5" i="57" a="1"/>
  <c r="Y5" i="57" s="1"/>
  <c r="X5" i="57" a="1"/>
  <c r="X5" i="57" s="1"/>
  <c r="W5" i="57" a="1"/>
  <c r="W5" i="57" s="1"/>
  <c r="V5" i="57" a="1"/>
  <c r="V5" i="57" s="1"/>
  <c r="U5" i="57" a="1"/>
  <c r="U5" i="57" s="1"/>
  <c r="T5" i="57" a="1"/>
  <c r="T5" i="57" s="1"/>
  <c r="S5" i="57" a="1"/>
  <c r="S5" i="57" s="1"/>
  <c r="R5" i="57" a="1"/>
  <c r="R5" i="57" s="1"/>
  <c r="Q5" i="57" a="1"/>
  <c r="Q5" i="57" s="1"/>
  <c r="P5" i="57" a="1"/>
  <c r="P5" i="57" s="1"/>
  <c r="O5" i="57" a="1"/>
  <c r="O5" i="57" s="1"/>
  <c r="N5" i="57" a="1"/>
  <c r="N5" i="57" s="1"/>
  <c r="M5" i="57" a="1"/>
  <c r="M5" i="57" s="1"/>
  <c r="AE4" i="57" a="1"/>
  <c r="AE4" i="57" s="1"/>
  <c r="AD4" i="57" a="1"/>
  <c r="AD4" i="57" s="1"/>
  <c r="AC4" i="57" a="1"/>
  <c r="AC4" i="57" s="1"/>
  <c r="AB4" i="57" a="1"/>
  <c r="AB4" i="57" s="1"/>
  <c r="AA4" i="57" a="1"/>
  <c r="AA4" i="57" s="1"/>
  <c r="Z4" i="57" a="1"/>
  <c r="Z4" i="57" s="1"/>
  <c r="Y4" i="57" a="1"/>
  <c r="Y4" i="57" s="1"/>
  <c r="X4" i="57" a="1"/>
  <c r="X4" i="57" s="1"/>
  <c r="W4" i="57" a="1"/>
  <c r="W4" i="57" s="1"/>
  <c r="V4" i="57" a="1"/>
  <c r="V4" i="57" s="1"/>
  <c r="U4" i="57" a="1"/>
  <c r="U4" i="57" s="1"/>
  <c r="T4" i="57" a="1"/>
  <c r="T4" i="57" s="1"/>
  <c r="S4" i="57" a="1"/>
  <c r="S4" i="57" s="1"/>
  <c r="R4" i="57" a="1"/>
  <c r="R4" i="57" s="1"/>
  <c r="Q4" i="57" a="1"/>
  <c r="Q4" i="57" s="1"/>
  <c r="P4" i="57" a="1"/>
  <c r="P4" i="57" s="1"/>
  <c r="O4" i="57" a="1"/>
  <c r="O4" i="57" s="1"/>
  <c r="N4" i="57" a="1"/>
  <c r="N4" i="57" s="1"/>
  <c r="M4" i="57" a="1"/>
  <c r="M4" i="57" s="1"/>
  <c r="AE3" i="57" a="1"/>
  <c r="AE3" i="57" s="1"/>
  <c r="AD3" i="57" a="1"/>
  <c r="AD3" i="57" s="1"/>
  <c r="AC3" i="57" a="1"/>
  <c r="AC3" i="57" s="1"/>
  <c r="AB3" i="57" a="1"/>
  <c r="AB3" i="57" s="1"/>
  <c r="AA3" i="57" a="1"/>
  <c r="AA3" i="57" s="1"/>
  <c r="Z3" i="57" a="1"/>
  <c r="Z3" i="57" s="1"/>
  <c r="Y3" i="57" a="1"/>
  <c r="Y3" i="57" s="1"/>
  <c r="X3" i="57" a="1"/>
  <c r="X3" i="57" s="1"/>
  <c r="W3" i="57" a="1"/>
  <c r="W3" i="57" s="1"/>
  <c r="V3" i="57" a="1"/>
  <c r="V3" i="57" s="1"/>
  <c r="U3" i="57" a="1"/>
  <c r="U3" i="57" s="1"/>
  <c r="T3" i="57" a="1"/>
  <c r="T3" i="57" s="1"/>
  <c r="S3" i="57" a="1"/>
  <c r="S3" i="57" s="1"/>
  <c r="R3" i="57" a="1"/>
  <c r="R3" i="57" s="1"/>
  <c r="Q3" i="57" a="1"/>
  <c r="Q3" i="57" s="1"/>
  <c r="P3" i="57" a="1"/>
  <c r="P3" i="57" s="1"/>
  <c r="O3" i="57" a="1"/>
  <c r="O3" i="57" s="1"/>
  <c r="N3" i="57" a="1"/>
  <c r="N3" i="57" s="1"/>
  <c r="M3" i="57" a="1"/>
  <c r="M3" i="57" s="1"/>
  <c r="AE2" i="57" a="1"/>
  <c r="AE2" i="57" s="1"/>
  <c r="AD2" i="57" a="1"/>
  <c r="AD2" i="57" s="1"/>
  <c r="AC2" i="57" a="1"/>
  <c r="AC2" i="57" s="1"/>
  <c r="AB2" i="57" a="1"/>
  <c r="AB2" i="57" s="1"/>
  <c r="AA2" i="57" a="1"/>
  <c r="AA2" i="57" s="1"/>
  <c r="Z2" i="57" a="1"/>
  <c r="Z2" i="57" s="1"/>
  <c r="Y2" i="57" a="1"/>
  <c r="Y2" i="57" s="1"/>
  <c r="X2" i="57" a="1"/>
  <c r="X2" i="57" s="1"/>
  <c r="W2" i="57" a="1"/>
  <c r="W2" i="57" s="1"/>
  <c r="V2" i="57" a="1"/>
  <c r="V2" i="57" s="1"/>
  <c r="U2" i="57" a="1"/>
  <c r="U2" i="57" s="1"/>
  <c r="T2" i="57" a="1"/>
  <c r="T2" i="57" s="1"/>
  <c r="S2" i="57" a="1"/>
  <c r="S2" i="57" s="1"/>
  <c r="R2" i="57" a="1"/>
  <c r="R2" i="57" s="1"/>
  <c r="Q2" i="57" a="1"/>
  <c r="Q2" i="57" s="1"/>
  <c r="P2" i="57" a="1"/>
  <c r="P2" i="57" s="1"/>
  <c r="O2" i="57" a="1"/>
  <c r="O2" i="57" s="1"/>
  <c r="N2" i="57" a="1"/>
  <c r="N2" i="57" s="1"/>
  <c r="M2" i="57" a="1"/>
  <c r="M2" i="57" s="1"/>
  <c r="AA26" i="19" l="1"/>
  <c r="AC26" i="19" s="1"/>
  <c r="AC14" i="19"/>
  <c r="AA35" i="19"/>
  <c r="AC35" i="19" s="1"/>
  <c r="AA23" i="19"/>
  <c r="AC23" i="19" s="1"/>
  <c r="AA20" i="19"/>
  <c r="AC20" i="19" s="1"/>
  <c r="AA29" i="19"/>
  <c r="AC29" i="19" s="1"/>
  <c r="AC37" i="19"/>
  <c r="AA36" i="19"/>
  <c r="AC36" i="19" s="1"/>
  <c r="AA24" i="19"/>
  <c r="AC24" i="19" s="1"/>
  <c r="AA12" i="19"/>
  <c r="AC12" i="19" s="1"/>
  <c r="AC2" i="19"/>
  <c r="AA11" i="19"/>
  <c r="AC11" i="19" s="1"/>
  <c r="AA34" i="19"/>
  <c r="AC34" i="19" s="1"/>
  <c r="AA21" i="19"/>
  <c r="AC21" i="19" s="1"/>
  <c r="AC8" i="19"/>
  <c r="AA33" i="19"/>
  <c r="AC33" i="19" s="1"/>
  <c r="AC7" i="19"/>
  <c r="AA30" i="19"/>
  <c r="AC30" i="19" s="1"/>
  <c r="AA19" i="19"/>
  <c r="AC19" i="19" s="1"/>
  <c r="AC6" i="19"/>
  <c r="AA18" i="19"/>
  <c r="AC18" i="19" s="1"/>
  <c r="AC5" i="19"/>
  <c r="AA27" i="19"/>
  <c r="AC27" i="19" s="1"/>
  <c r="AA15" i="19"/>
  <c r="AC15" i="19" s="1"/>
  <c r="AC4" i="19"/>
  <c r="C68" i="56"/>
  <c r="AD12" i="57" s="1" a="1"/>
  <c r="AD12" i="57" s="1"/>
  <c r="C67" i="56"/>
  <c r="Q12" i="57" s="1" a="1"/>
  <c r="Q12" i="57" s="1"/>
  <c r="C66" i="56"/>
  <c r="P12" i="57" s="1" a="1"/>
  <c r="P12" i="57" s="1"/>
  <c r="C65" i="56"/>
  <c r="AC12" i="57" s="1" a="1"/>
  <c r="AC12" i="57" s="1"/>
  <c r="C64" i="56"/>
  <c r="AB12" i="57" s="1" a="1"/>
  <c r="AB12" i="57" s="1"/>
  <c r="C63" i="56"/>
  <c r="AA12" i="57" s="1" a="1"/>
  <c r="AA12" i="57" s="1"/>
  <c r="C62" i="56"/>
  <c r="Z12" i="57" s="1" a="1"/>
  <c r="Z12" i="57" s="1"/>
  <c r="C61" i="56"/>
  <c r="Y12" i="57" s="1" a="1"/>
  <c r="Y12" i="57" s="1"/>
  <c r="C60" i="56"/>
  <c r="O12" i="57" s="1" a="1"/>
  <c r="O12" i="57" s="1"/>
  <c r="C59" i="56"/>
  <c r="N12" i="57" s="1" a="1"/>
  <c r="N12" i="57" s="1"/>
  <c r="C58" i="56"/>
  <c r="X12" i="57" s="1" a="1"/>
  <c r="X12" i="57" s="1"/>
  <c r="C57" i="56"/>
  <c r="W12" i="57" s="1" a="1"/>
  <c r="W12" i="57" s="1"/>
  <c r="C56" i="56"/>
  <c r="V12" i="57" s="1" a="1"/>
  <c r="V12" i="57" s="1"/>
  <c r="C55" i="56"/>
  <c r="U12" i="57" s="1" a="1"/>
  <c r="U12" i="57" s="1"/>
  <c r="C54" i="56"/>
  <c r="T12" i="57" s="1" a="1"/>
  <c r="T12" i="57" s="1"/>
  <c r="C53" i="56"/>
  <c r="M12" i="57" s="1" a="1"/>
  <c r="M12" i="57" s="1"/>
  <c r="C52" i="56"/>
  <c r="S12" i="57" s="1" a="1"/>
  <c r="S12" i="57" s="1"/>
  <c r="C51" i="56"/>
  <c r="R12" i="57" s="1" a="1"/>
  <c r="R12" i="57" s="1"/>
  <c r="C50" i="56"/>
  <c r="AD10" i="57" s="1" a="1"/>
  <c r="AD10" i="57" s="1"/>
  <c r="C49" i="56"/>
  <c r="Q10" i="57" s="1" a="1"/>
  <c r="Q10" i="57" s="1"/>
  <c r="C48" i="56"/>
  <c r="P10" i="57" s="1" a="1"/>
  <c r="P10" i="57" s="1"/>
  <c r="C47" i="56"/>
  <c r="AC10" i="57" s="1" a="1"/>
  <c r="AC10" i="57" s="1"/>
  <c r="C46" i="56"/>
  <c r="AB10" i="57" s="1" a="1"/>
  <c r="AB10" i="57" s="1"/>
  <c r="C45" i="56"/>
  <c r="AA10" i="57" s="1" a="1"/>
  <c r="AA10" i="57" s="1"/>
  <c r="C44" i="56"/>
  <c r="Z10" i="57" s="1" a="1"/>
  <c r="Z10" i="57" s="1"/>
  <c r="C43" i="56"/>
  <c r="Y10" i="57" s="1" a="1"/>
  <c r="Y10" i="57" s="1"/>
  <c r="C42" i="56"/>
  <c r="O10" i="57" s="1" a="1"/>
  <c r="O10" i="57" s="1"/>
  <c r="C41" i="56"/>
  <c r="N10" i="57" s="1" a="1"/>
  <c r="N10" i="57" s="1"/>
  <c r="C40" i="56"/>
  <c r="X10" i="57" s="1" a="1"/>
  <c r="X10" i="57" s="1"/>
  <c r="C39" i="56"/>
  <c r="W10" i="57" s="1" a="1"/>
  <c r="W10" i="57" s="1"/>
  <c r="C38" i="56"/>
  <c r="V10" i="57" s="1" a="1"/>
  <c r="V10" i="57" s="1"/>
  <c r="C37" i="56"/>
  <c r="U10" i="57" s="1" a="1"/>
  <c r="U10" i="57" s="1"/>
  <c r="C36" i="56"/>
  <c r="T10" i="57" s="1" a="1"/>
  <c r="T10" i="57" s="1"/>
  <c r="C35" i="56"/>
  <c r="M10" i="57" s="1" a="1"/>
  <c r="M10" i="57" s="1"/>
  <c r="C34" i="56"/>
  <c r="S10" i="57" s="1" a="1"/>
  <c r="S10" i="57" s="1"/>
  <c r="C33" i="56"/>
  <c r="R10" i="57" s="1" a="1"/>
  <c r="R10" i="57" s="1"/>
  <c r="C104" i="56"/>
  <c r="AD11" i="57" s="1" a="1"/>
  <c r="AD11" i="57" s="1"/>
  <c r="C103" i="56"/>
  <c r="Q11" i="57" s="1" a="1"/>
  <c r="Q11" i="57" s="1"/>
  <c r="C102" i="56"/>
  <c r="P11" i="57" s="1" a="1"/>
  <c r="P11" i="57" s="1"/>
  <c r="C101" i="56"/>
  <c r="AC11" i="57" s="1" a="1"/>
  <c r="AC11" i="57" s="1"/>
  <c r="C100" i="56"/>
  <c r="AB11" i="57" s="1" a="1"/>
  <c r="AB11" i="57" s="1"/>
  <c r="C99" i="56"/>
  <c r="AA11" i="57" s="1" a="1"/>
  <c r="AA11" i="57" s="1"/>
  <c r="C98" i="56"/>
  <c r="Z11" i="57" s="1" a="1"/>
  <c r="Z11" i="57" s="1"/>
  <c r="C97" i="56"/>
  <c r="Y11" i="57" s="1" a="1"/>
  <c r="Y11" i="57" s="1"/>
  <c r="C96" i="56"/>
  <c r="O11" i="57" s="1" a="1"/>
  <c r="O11" i="57" s="1"/>
  <c r="C95" i="56"/>
  <c r="N11" i="57" s="1" a="1"/>
  <c r="N11" i="57" s="1"/>
  <c r="C94" i="56"/>
  <c r="X11" i="57" s="1" a="1"/>
  <c r="X11" i="57" s="1"/>
  <c r="C93" i="56"/>
  <c r="W11" i="57" s="1" a="1"/>
  <c r="W11" i="57" s="1"/>
  <c r="C92" i="56"/>
  <c r="V11" i="57" s="1" a="1"/>
  <c r="V11" i="57" s="1"/>
  <c r="C91" i="56"/>
  <c r="U11" i="57" s="1" a="1"/>
  <c r="U11" i="57" s="1"/>
  <c r="C90" i="56"/>
  <c r="T11" i="57" s="1" a="1"/>
  <c r="T11" i="57" s="1"/>
  <c r="C89" i="56"/>
  <c r="M11" i="57" s="1" a="1"/>
  <c r="M11" i="57" s="1"/>
  <c r="C88" i="56"/>
  <c r="S11" i="57" s="1" a="1"/>
  <c r="S11" i="57" s="1"/>
  <c r="C87" i="56"/>
  <c r="R11" i="57" s="1" a="1"/>
  <c r="R11" i="57" s="1"/>
  <c r="C86" i="56"/>
  <c r="AD9" i="57" s="1" a="1"/>
  <c r="AD9" i="57" s="1"/>
  <c r="C85" i="56"/>
  <c r="Q9" i="57" s="1" a="1"/>
  <c r="Q9" i="57" s="1"/>
  <c r="C84" i="56"/>
  <c r="P9" i="57" s="1" a="1"/>
  <c r="P9" i="57" s="1"/>
  <c r="C83" i="56"/>
  <c r="AC9" i="57" s="1" a="1"/>
  <c r="AC9" i="57" s="1"/>
  <c r="C82" i="56"/>
  <c r="AB9" i="57" s="1" a="1"/>
  <c r="AB9" i="57" s="1"/>
  <c r="C81" i="56"/>
  <c r="AA9" i="57" s="1" a="1"/>
  <c r="AA9" i="57" s="1"/>
  <c r="C80" i="56"/>
  <c r="Z9" i="57" s="1" a="1"/>
  <c r="Z9" i="57" s="1"/>
  <c r="C79" i="56"/>
  <c r="Y9" i="57" s="1" a="1"/>
  <c r="Y9" i="57" s="1"/>
  <c r="C78" i="56"/>
  <c r="O9" i="57" s="1" a="1"/>
  <c r="O9" i="57" s="1"/>
  <c r="C77" i="56"/>
  <c r="N9" i="57" s="1" a="1"/>
  <c r="N9" i="57" s="1"/>
  <c r="C76" i="56"/>
  <c r="X9" i="57" s="1" a="1"/>
  <c r="X9" i="57" s="1"/>
  <c r="C75" i="56"/>
  <c r="W9" i="57" s="1" a="1"/>
  <c r="W9" i="57" s="1"/>
  <c r="C74" i="56"/>
  <c r="V9" i="57" s="1" a="1"/>
  <c r="V9" i="57" s="1"/>
  <c r="C73" i="56"/>
  <c r="U9" i="57" s="1" a="1"/>
  <c r="U9" i="57" s="1"/>
  <c r="C72" i="56"/>
  <c r="T9" i="57" s="1" a="1"/>
  <c r="T9" i="57" s="1"/>
  <c r="C71" i="56"/>
  <c r="M9" i="57" s="1" a="1"/>
  <c r="M9" i="57" s="1"/>
  <c r="C70" i="56"/>
  <c r="S9" i="57" s="1" a="1"/>
  <c r="S9" i="57" s="1"/>
  <c r="C69" i="56"/>
  <c r="R9" i="57" s="1" a="1"/>
  <c r="R9" i="57" s="1"/>
  <c r="J219" i="6" l="1"/>
  <c r="J218" i="6"/>
  <c r="J217" i="6"/>
  <c r="J216" i="6"/>
  <c r="J215" i="6"/>
  <c r="J214" i="6"/>
  <c r="J213" i="6"/>
  <c r="J212" i="6"/>
  <c r="J211" i="6"/>
  <c r="J210" i="6"/>
  <c r="J209" i="6"/>
  <c r="J208" i="6"/>
  <c r="J207" i="6"/>
  <c r="J206" i="6"/>
  <c r="J205" i="6"/>
  <c r="J204" i="6"/>
  <c r="J203" i="6"/>
  <c r="J202" i="6"/>
  <c r="J201" i="6"/>
  <c r="J200" i="6"/>
  <c r="J199" i="6"/>
  <c r="J198" i="6"/>
  <c r="J197" i="6"/>
  <c r="J196" i="6"/>
  <c r="J195" i="6"/>
  <c r="J194" i="6"/>
  <c r="J193" i="6"/>
  <c r="J192" i="6"/>
  <c r="J191" i="6"/>
  <c r="J190" i="6"/>
  <c r="J189" i="6"/>
  <c r="J188" i="6"/>
  <c r="J187" i="6"/>
  <c r="J186" i="6"/>
  <c r="J185" i="6"/>
  <c r="J184" i="6"/>
  <c r="J183" i="6"/>
  <c r="J182" i="6"/>
  <c r="J181" i="6"/>
  <c r="J180" i="6"/>
  <c r="J179" i="6"/>
  <c r="J178" i="6"/>
  <c r="J177" i="6"/>
  <c r="J176" i="6"/>
  <c r="J175" i="6"/>
  <c r="J174" i="6"/>
  <c r="J173" i="6"/>
  <c r="J172" i="6"/>
  <c r="J171" i="6"/>
  <c r="J170" i="6"/>
  <c r="J169" i="6"/>
  <c r="J168" i="6"/>
  <c r="J167" i="6"/>
  <c r="J166" i="6"/>
  <c r="J165" i="6"/>
  <c r="J164" i="6"/>
  <c r="J163" i="6"/>
  <c r="J162" i="6"/>
  <c r="J161" i="6"/>
  <c r="J160" i="6"/>
  <c r="J159" i="6"/>
  <c r="J158" i="6"/>
  <c r="J157" i="6"/>
  <c r="J156" i="6"/>
  <c r="J155" i="6"/>
  <c r="J154" i="6"/>
  <c r="J153" i="6"/>
  <c r="J152" i="6"/>
  <c r="J151" i="6"/>
  <c r="J150" i="6"/>
  <c r="J149" i="6"/>
  <c r="J148" i="6"/>
  <c r="J147" i="6"/>
  <c r="J146" i="6"/>
  <c r="J145" i="6"/>
  <c r="J144" i="6"/>
  <c r="J143" i="6"/>
  <c r="J142" i="6"/>
  <c r="J141" i="6"/>
  <c r="J140" i="6"/>
  <c r="J139" i="6"/>
  <c r="J138" i="6"/>
  <c r="J137" i="6"/>
  <c r="J136" i="6"/>
  <c r="J135" i="6"/>
  <c r="J134" i="6"/>
  <c r="J133" i="6"/>
  <c r="J132" i="6"/>
  <c r="J131" i="6"/>
  <c r="J130" i="6"/>
  <c r="J129" i="6"/>
  <c r="J128" i="6"/>
  <c r="J127" i="6"/>
  <c r="J126" i="6"/>
  <c r="J125" i="6"/>
  <c r="J124" i="6"/>
  <c r="J123" i="6"/>
  <c r="J122" i="6"/>
  <c r="J121" i="6"/>
  <c r="J120" i="6"/>
  <c r="J119" i="6"/>
  <c r="J118" i="6"/>
  <c r="J117" i="6"/>
  <c r="J116" i="6"/>
  <c r="J115" i="6"/>
  <c r="J114" i="6"/>
  <c r="J113" i="6"/>
  <c r="J112" i="6"/>
  <c r="J111" i="6"/>
  <c r="J110" i="6"/>
  <c r="J109" i="6"/>
  <c r="J108" i="6"/>
  <c r="J107" i="6"/>
  <c r="J106" i="6"/>
  <c r="J105" i="6"/>
  <c r="J104" i="6"/>
  <c r="J103" i="6"/>
  <c r="J102" i="6"/>
  <c r="J101" i="6"/>
  <c r="J100" i="6"/>
  <c r="J99" i="6"/>
  <c r="J98" i="6"/>
  <c r="J97" i="6"/>
  <c r="J96" i="6"/>
  <c r="J95" i="6"/>
  <c r="J94" i="6"/>
  <c r="J93" i="6"/>
  <c r="J92" i="6"/>
  <c r="J91" i="6"/>
  <c r="J90" i="6"/>
  <c r="J89" i="6"/>
  <c r="J88" i="6"/>
  <c r="J87" i="6"/>
  <c r="J86"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J11" i="6"/>
  <c r="J10" i="6"/>
  <c r="J9" i="6"/>
  <c r="J8" i="6"/>
  <c r="J7" i="6"/>
  <c r="J6" i="6"/>
  <c r="J5" i="6"/>
  <c r="J4" i="6"/>
  <c r="J3" i="6"/>
  <c r="J2" i="6"/>
  <c r="J579" i="27" l="1"/>
  <c r="J578" i="27"/>
  <c r="J577" i="27"/>
  <c r="J576" i="27"/>
  <c r="J575" i="27"/>
  <c r="J574" i="27"/>
  <c r="J573" i="27"/>
  <c r="J572" i="27"/>
  <c r="J571" i="27"/>
  <c r="J570" i="27"/>
  <c r="J569" i="27"/>
  <c r="J568" i="27"/>
  <c r="J567" i="27"/>
  <c r="J566" i="27"/>
  <c r="J565" i="27"/>
  <c r="J564" i="27"/>
  <c r="J563" i="27"/>
  <c r="J562" i="27"/>
  <c r="J561" i="27"/>
  <c r="J560" i="27"/>
  <c r="J559" i="27"/>
  <c r="J558" i="27"/>
  <c r="J557" i="27"/>
  <c r="J556" i="27"/>
  <c r="J555" i="27"/>
  <c r="J554" i="27"/>
  <c r="J553" i="27"/>
  <c r="J552" i="27"/>
  <c r="J551" i="27"/>
  <c r="J550" i="27"/>
  <c r="J549" i="27"/>
  <c r="J548" i="27"/>
  <c r="J547" i="27"/>
  <c r="J546" i="27"/>
  <c r="J545" i="27"/>
  <c r="J544" i="27"/>
  <c r="J543" i="27"/>
  <c r="J542" i="27"/>
  <c r="J541" i="27"/>
  <c r="J540" i="27"/>
  <c r="J539" i="27"/>
  <c r="J538" i="27"/>
  <c r="J537" i="27"/>
  <c r="J536" i="27"/>
  <c r="J535" i="27"/>
  <c r="J534" i="27"/>
  <c r="J533" i="27"/>
  <c r="J532" i="27"/>
  <c r="J531" i="27"/>
  <c r="J530" i="27"/>
  <c r="J529" i="27"/>
  <c r="J528" i="27"/>
  <c r="J527" i="27"/>
  <c r="J526" i="27"/>
  <c r="J525" i="27"/>
  <c r="J524" i="27"/>
  <c r="J523" i="27"/>
  <c r="J522" i="27"/>
  <c r="J521" i="27"/>
  <c r="J520" i="27"/>
  <c r="J519" i="27"/>
  <c r="J518" i="27"/>
  <c r="J517" i="27"/>
  <c r="J516" i="27"/>
  <c r="J515" i="27"/>
  <c r="J514" i="27"/>
  <c r="J513" i="27"/>
  <c r="J512" i="27"/>
  <c r="J511" i="27"/>
  <c r="J510" i="27"/>
  <c r="J509" i="27"/>
  <c r="J508" i="27"/>
  <c r="J507" i="27"/>
  <c r="J506" i="27"/>
  <c r="J505" i="27"/>
  <c r="J504" i="27"/>
  <c r="J503" i="27"/>
  <c r="J502" i="27"/>
  <c r="J501" i="27"/>
  <c r="J500" i="27"/>
  <c r="J499" i="27"/>
  <c r="J498" i="27"/>
  <c r="J497" i="27"/>
  <c r="J496" i="27"/>
  <c r="J495" i="27"/>
  <c r="J494" i="27"/>
  <c r="J493" i="27"/>
  <c r="J492" i="27"/>
  <c r="J491" i="27"/>
  <c r="J490" i="27"/>
  <c r="J489" i="27"/>
  <c r="J488" i="27"/>
  <c r="J487" i="27"/>
  <c r="J486" i="27"/>
  <c r="J485" i="27"/>
  <c r="J484" i="27"/>
  <c r="J483" i="27"/>
  <c r="J482" i="27"/>
  <c r="J481" i="27"/>
  <c r="J480" i="27"/>
  <c r="J479" i="27"/>
  <c r="J478" i="27"/>
  <c r="J477" i="27"/>
  <c r="J476" i="27"/>
  <c r="J475" i="27"/>
  <c r="J474" i="27"/>
  <c r="J473" i="27"/>
  <c r="J472" i="27"/>
  <c r="J471" i="27"/>
  <c r="J470" i="27"/>
  <c r="J469" i="27"/>
  <c r="J468" i="27"/>
  <c r="J467" i="27"/>
  <c r="J466" i="27"/>
  <c r="J465" i="27"/>
  <c r="J464" i="27"/>
  <c r="J463" i="27"/>
  <c r="J462" i="27"/>
  <c r="J461" i="27"/>
  <c r="J460" i="27"/>
  <c r="J459" i="27"/>
  <c r="J458" i="27"/>
  <c r="J457" i="27"/>
  <c r="J456" i="27"/>
  <c r="J455" i="27"/>
  <c r="J454" i="27"/>
  <c r="J453" i="27"/>
  <c r="J452" i="27"/>
  <c r="J451" i="27"/>
  <c r="J450" i="27"/>
  <c r="J449" i="27"/>
  <c r="J448" i="27"/>
  <c r="J447" i="27"/>
  <c r="J446" i="27"/>
  <c r="J445" i="27"/>
  <c r="J444" i="27"/>
  <c r="J443" i="27"/>
  <c r="J442" i="27"/>
  <c r="J441" i="27"/>
  <c r="J440" i="27"/>
  <c r="J439" i="27"/>
  <c r="J438" i="27"/>
  <c r="J437" i="27"/>
  <c r="J436" i="27"/>
  <c r="J435" i="27"/>
  <c r="J434" i="27"/>
  <c r="J433" i="27"/>
  <c r="J432" i="27"/>
  <c r="J431" i="27"/>
  <c r="J430" i="27"/>
  <c r="J429" i="27"/>
  <c r="J428" i="27"/>
  <c r="J427" i="27"/>
  <c r="J426" i="27"/>
  <c r="J425" i="27"/>
  <c r="J424" i="27"/>
  <c r="J423" i="27"/>
  <c r="J422" i="27"/>
  <c r="J421" i="27"/>
  <c r="J420" i="27"/>
  <c r="J419" i="27"/>
  <c r="J418" i="27"/>
  <c r="J417" i="27"/>
  <c r="J416" i="27"/>
  <c r="J415" i="27"/>
  <c r="J414" i="27"/>
  <c r="J413" i="27"/>
  <c r="J412" i="27"/>
  <c r="J411" i="27"/>
  <c r="J410" i="27"/>
  <c r="J409" i="27"/>
  <c r="J408" i="27"/>
  <c r="J407" i="27"/>
  <c r="J406" i="27"/>
  <c r="J405" i="27"/>
  <c r="J404" i="27"/>
  <c r="J403" i="27"/>
  <c r="J402" i="27"/>
  <c r="J401" i="27"/>
  <c r="J400" i="27"/>
  <c r="J399" i="27"/>
  <c r="J398" i="27"/>
  <c r="J397" i="27"/>
  <c r="J396" i="27"/>
  <c r="J395" i="27"/>
  <c r="J394" i="27"/>
  <c r="J393" i="27"/>
  <c r="J392" i="27"/>
  <c r="J391" i="27"/>
  <c r="J390" i="27"/>
  <c r="J389" i="27"/>
  <c r="J388" i="27"/>
  <c r="J387" i="27"/>
  <c r="J386" i="27"/>
  <c r="J385" i="27"/>
  <c r="J384" i="27"/>
  <c r="J383" i="27"/>
  <c r="J382" i="27"/>
  <c r="J381" i="27"/>
  <c r="J380" i="27"/>
  <c r="J379" i="27"/>
  <c r="J378" i="27"/>
  <c r="J377" i="27"/>
  <c r="J376" i="27"/>
  <c r="J375" i="27"/>
  <c r="J374" i="27"/>
  <c r="J373" i="27"/>
  <c r="J372" i="27"/>
  <c r="J371" i="27"/>
  <c r="J370" i="27"/>
  <c r="J369" i="27"/>
  <c r="J368" i="27"/>
  <c r="J367" i="27"/>
  <c r="J366" i="27"/>
  <c r="J365" i="27"/>
  <c r="J364" i="27"/>
  <c r="J363" i="27"/>
  <c r="J362" i="27"/>
  <c r="J361" i="27"/>
  <c r="J360" i="27"/>
  <c r="J359" i="27"/>
  <c r="J358" i="27"/>
  <c r="J357" i="27"/>
  <c r="J356" i="27"/>
  <c r="J355" i="27"/>
  <c r="J354" i="27"/>
  <c r="J353" i="27"/>
  <c r="J352" i="27"/>
  <c r="J351" i="27"/>
  <c r="J350" i="27"/>
  <c r="J349" i="27"/>
  <c r="J348" i="27"/>
  <c r="J347" i="27"/>
  <c r="J346" i="27"/>
  <c r="J345" i="27"/>
  <c r="J344" i="27"/>
  <c r="J343" i="27"/>
  <c r="J342" i="27"/>
  <c r="J341" i="27"/>
  <c r="J340" i="27"/>
  <c r="J339" i="27"/>
  <c r="J338" i="27"/>
  <c r="J337" i="27"/>
  <c r="J336" i="27"/>
  <c r="J335" i="27"/>
  <c r="J334" i="27"/>
  <c r="J333" i="27"/>
  <c r="J332" i="27"/>
  <c r="J331" i="27"/>
  <c r="J330" i="27"/>
  <c r="J329" i="27"/>
  <c r="J328" i="27"/>
  <c r="J327" i="27"/>
  <c r="J326" i="27"/>
  <c r="J325" i="27"/>
  <c r="J324" i="27"/>
  <c r="J323" i="27"/>
  <c r="J322" i="27"/>
  <c r="J321" i="27"/>
  <c r="J320" i="27"/>
  <c r="J319" i="27"/>
  <c r="J318" i="27"/>
  <c r="J317" i="27"/>
  <c r="J316" i="27"/>
  <c r="J315" i="27"/>
  <c r="J314" i="27"/>
  <c r="J313" i="27"/>
  <c r="J312" i="27"/>
  <c r="J311" i="27"/>
  <c r="J310" i="27"/>
  <c r="J309" i="27"/>
  <c r="J308" i="27"/>
  <c r="J307" i="27"/>
  <c r="J306" i="27"/>
  <c r="J305" i="27"/>
  <c r="J304" i="27"/>
  <c r="J303" i="27"/>
  <c r="J302" i="27"/>
  <c r="J301" i="27"/>
  <c r="J300" i="27"/>
  <c r="J299" i="27"/>
  <c r="J298" i="27"/>
  <c r="J297" i="27"/>
  <c r="J296" i="27"/>
  <c r="J295" i="27"/>
  <c r="J294" i="27"/>
  <c r="J293" i="27"/>
  <c r="J292" i="27"/>
  <c r="J291" i="27"/>
  <c r="J290" i="27"/>
  <c r="J289" i="27"/>
  <c r="J288" i="27"/>
  <c r="J287" i="27"/>
  <c r="J286" i="27"/>
  <c r="J285" i="27"/>
  <c r="J284" i="27"/>
  <c r="J283" i="27"/>
  <c r="J282" i="27"/>
  <c r="J281" i="27"/>
  <c r="J280" i="27"/>
  <c r="J279" i="27"/>
  <c r="J278" i="27"/>
  <c r="J277" i="27"/>
  <c r="J276" i="27"/>
  <c r="J275" i="27"/>
  <c r="J274" i="27"/>
  <c r="J273" i="27"/>
  <c r="J272" i="27"/>
  <c r="J271" i="27"/>
  <c r="J270" i="27"/>
  <c r="J269" i="27"/>
  <c r="J268" i="27"/>
  <c r="J267" i="27"/>
  <c r="J266" i="27"/>
  <c r="J265" i="27"/>
  <c r="J264" i="27"/>
  <c r="J263" i="27"/>
  <c r="J262" i="27"/>
  <c r="J261" i="27"/>
  <c r="J260" i="27"/>
  <c r="J259" i="27"/>
  <c r="J258" i="27"/>
  <c r="J257" i="27"/>
  <c r="J256" i="27"/>
  <c r="J255" i="27"/>
  <c r="J254" i="27"/>
  <c r="J253" i="27"/>
  <c r="J252" i="27"/>
  <c r="J251" i="27"/>
  <c r="J250" i="27"/>
  <c r="J249" i="27"/>
  <c r="J248" i="27"/>
  <c r="J247" i="27"/>
  <c r="J246" i="27"/>
  <c r="J245" i="27"/>
  <c r="J244" i="27"/>
  <c r="J243" i="27"/>
  <c r="J242" i="27"/>
  <c r="J241" i="27"/>
  <c r="J240" i="27"/>
  <c r="J239" i="27"/>
  <c r="J238" i="27"/>
  <c r="J237" i="27"/>
  <c r="J236" i="27"/>
  <c r="J235" i="27"/>
  <c r="J234" i="27"/>
  <c r="J233" i="27"/>
  <c r="J232" i="27"/>
  <c r="J231" i="27"/>
  <c r="J230" i="27"/>
  <c r="J229" i="27"/>
  <c r="J228" i="27"/>
  <c r="J227" i="27"/>
  <c r="J226" i="27"/>
  <c r="J225" i="27"/>
  <c r="J224" i="27"/>
  <c r="J223" i="27"/>
  <c r="J222" i="27"/>
  <c r="J221" i="27"/>
  <c r="J220" i="27"/>
  <c r="J219" i="27"/>
  <c r="J218" i="27"/>
  <c r="J217" i="27"/>
  <c r="J216" i="27"/>
  <c r="J215" i="27"/>
  <c r="J214" i="27"/>
  <c r="J213" i="27"/>
  <c r="J212" i="27"/>
  <c r="J211" i="27"/>
  <c r="J210" i="27"/>
  <c r="J209" i="27"/>
  <c r="J208" i="27"/>
  <c r="J207" i="27"/>
  <c r="J206" i="27"/>
  <c r="J205" i="27"/>
  <c r="J204" i="27"/>
  <c r="J203" i="27"/>
  <c r="J202" i="27"/>
  <c r="J201" i="27"/>
  <c r="J200" i="27"/>
  <c r="J199" i="27"/>
  <c r="J198" i="27"/>
  <c r="J197" i="27"/>
  <c r="J196" i="27"/>
  <c r="J195" i="27"/>
  <c r="J194" i="27"/>
  <c r="J193" i="27"/>
  <c r="J192" i="27"/>
  <c r="J191" i="27"/>
  <c r="J190" i="27"/>
  <c r="J189" i="27"/>
  <c r="J188" i="27"/>
  <c r="J187" i="27"/>
  <c r="J186" i="27"/>
  <c r="J185" i="27"/>
  <c r="J184" i="27"/>
  <c r="J183" i="27"/>
  <c r="J182" i="27"/>
  <c r="J181" i="27"/>
  <c r="J180" i="27"/>
  <c r="J179" i="27"/>
  <c r="J178" i="27"/>
  <c r="J177" i="27"/>
  <c r="J176" i="27"/>
  <c r="J175" i="27"/>
  <c r="J174" i="27"/>
  <c r="J173" i="27"/>
  <c r="J172" i="27"/>
  <c r="J171" i="27"/>
  <c r="J170" i="27"/>
  <c r="J169" i="27"/>
  <c r="J168" i="27"/>
  <c r="J167" i="27"/>
  <c r="J166" i="27"/>
  <c r="J165" i="27"/>
  <c r="J164" i="27"/>
  <c r="J163" i="27"/>
  <c r="J162" i="27"/>
  <c r="J161" i="27"/>
  <c r="J160" i="27"/>
  <c r="J159" i="27"/>
  <c r="J158" i="27"/>
  <c r="J157" i="27"/>
  <c r="J156" i="27"/>
  <c r="J155" i="27"/>
  <c r="J154" i="27"/>
  <c r="J153" i="27"/>
  <c r="J152" i="27"/>
  <c r="J151" i="27"/>
  <c r="J150" i="27"/>
  <c r="J149" i="27"/>
  <c r="J148" i="27"/>
  <c r="J147" i="27"/>
  <c r="J146" i="27"/>
  <c r="J145" i="27"/>
  <c r="J144" i="27"/>
  <c r="J143" i="27"/>
  <c r="J142" i="27"/>
  <c r="J141" i="27"/>
  <c r="J140" i="27"/>
  <c r="J139" i="27"/>
  <c r="J138" i="27"/>
  <c r="J137" i="27"/>
  <c r="J136" i="27"/>
  <c r="J135" i="27"/>
  <c r="J134" i="27"/>
  <c r="J133" i="27"/>
  <c r="J132" i="27"/>
  <c r="J131" i="27"/>
  <c r="J130" i="27"/>
  <c r="J129" i="27"/>
  <c r="J128" i="27"/>
  <c r="J127" i="27"/>
  <c r="J126" i="27"/>
  <c r="J125" i="27"/>
  <c r="J124" i="27"/>
  <c r="J123" i="27"/>
  <c r="J122" i="27"/>
  <c r="J121" i="27"/>
  <c r="J120" i="27"/>
  <c r="J119" i="27"/>
  <c r="J118" i="27"/>
  <c r="J117" i="27"/>
  <c r="J116" i="27"/>
  <c r="J115" i="27"/>
  <c r="J114" i="27"/>
  <c r="J113" i="27"/>
  <c r="J112" i="27"/>
  <c r="J111" i="27"/>
  <c r="J110" i="27"/>
  <c r="J109" i="27"/>
  <c r="J108" i="27"/>
  <c r="J107" i="27"/>
  <c r="J106" i="27"/>
  <c r="J105" i="27"/>
  <c r="J104" i="27"/>
  <c r="J103" i="27"/>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J44" i="27"/>
  <c r="J43" i="27"/>
  <c r="J42" i="27"/>
  <c r="J41" i="27"/>
  <c r="J40" i="27"/>
  <c r="J39" i="27"/>
  <c r="J38" i="27"/>
  <c r="J37" i="27"/>
  <c r="J36" i="27"/>
  <c r="J35" i="27"/>
  <c r="J34" i="27"/>
  <c r="J33" i="27"/>
  <c r="J32" i="27"/>
  <c r="J31" i="27"/>
  <c r="J30" i="27"/>
  <c r="J29" i="27"/>
  <c r="J28" i="27"/>
  <c r="J27" i="27"/>
  <c r="J26" i="27"/>
  <c r="J25" i="27"/>
  <c r="J24" i="27"/>
  <c r="J23" i="27"/>
  <c r="J22" i="27"/>
  <c r="J21" i="27"/>
  <c r="J20" i="27"/>
  <c r="J19" i="27"/>
  <c r="J18" i="27"/>
  <c r="J17" i="27"/>
  <c r="J16" i="27"/>
  <c r="J15" i="27"/>
  <c r="J14" i="27"/>
  <c r="J13" i="27"/>
  <c r="J12" i="27"/>
  <c r="J11" i="27"/>
  <c r="J10" i="27"/>
  <c r="J9" i="27"/>
  <c r="J8" i="27"/>
  <c r="J7" i="27"/>
  <c r="J6" i="27"/>
  <c r="J5" i="27"/>
  <c r="J4" i="27"/>
  <c r="J3" i="27"/>
  <c r="J2" i="27"/>
  <c r="AJ16" i="57" l="1"/>
  <c r="AG11" i="57"/>
  <c r="AG5" i="57"/>
  <c r="AG9" i="57"/>
  <c r="AG2" i="57"/>
  <c r="AJ11" i="57"/>
  <c r="AJ14" i="57"/>
  <c r="AK5" i="57"/>
  <c r="AK15" i="57"/>
  <c r="AK2" i="57"/>
  <c r="AK3" i="57"/>
  <c r="AG7" i="57"/>
  <c r="AH4" i="57"/>
  <c r="AK11" i="57"/>
  <c r="AJ7" i="57"/>
  <c r="AJ9" i="57"/>
  <c r="AG4" i="57"/>
  <c r="AK13" i="57"/>
  <c r="AH6" i="57"/>
  <c r="AJ15" i="57"/>
  <c r="AJ2" i="57"/>
  <c r="AG12" i="57"/>
  <c r="AJ5" i="57"/>
  <c r="AH10" i="57"/>
  <c r="AH12" i="57"/>
  <c r="AG8" i="57"/>
  <c r="AG10" i="57"/>
  <c r="AG15" i="57"/>
  <c r="AJ13" i="57"/>
  <c r="AK6" i="57"/>
  <c r="AH13" i="57"/>
  <c r="AH9" i="57"/>
  <c r="AH16" i="57"/>
  <c r="AH15" i="57"/>
  <c r="AK4" i="57"/>
  <c r="AH14" i="57"/>
  <c r="AG16" i="57"/>
  <c r="AJ10" i="57"/>
  <c r="AJ4" i="57"/>
  <c r="AG6" i="57"/>
  <c r="AK14" i="57"/>
  <c r="AK8" i="57"/>
  <c r="AK10" i="57"/>
  <c r="AK12" i="57"/>
  <c r="AH11" i="57"/>
  <c r="AG13" i="57"/>
  <c r="AK9" i="57"/>
  <c r="AJ8" i="57"/>
  <c r="AG3" i="57"/>
  <c r="AJ12" i="57"/>
  <c r="AG14" i="57"/>
  <c r="AH3" i="57"/>
  <c r="AK16" i="57"/>
  <c r="AH7" i="57"/>
  <c r="AJ6" i="57"/>
  <c r="AH5" i="57"/>
  <c r="AJ3" i="57"/>
  <c r="AK7" i="57"/>
  <c r="AH2" i="57"/>
  <c r="AH8" i="57"/>
  <c r="AI6" i="57"/>
  <c r="AF15" i="57"/>
  <c r="AI14" i="57"/>
  <c r="AF9" i="57"/>
  <c r="AF12" i="57"/>
  <c r="AI9" i="57"/>
  <c r="AI13" i="57"/>
  <c r="AI5" i="57"/>
  <c r="AF2" i="57"/>
  <c r="AI2" i="57"/>
  <c r="AI3" i="57"/>
  <c r="AF8" i="57"/>
  <c r="AF16" i="57"/>
  <c r="AI8" i="57"/>
  <c r="AF4" i="57"/>
  <c r="AI11" i="57"/>
  <c r="AI7" i="57"/>
  <c r="AI16" i="57"/>
  <c r="AI10" i="57"/>
  <c r="AF6" i="57"/>
  <c r="AI4" i="57"/>
  <c r="AI15" i="57"/>
  <c r="AF3" i="57"/>
  <c r="AF5" i="57"/>
  <c r="AF14" i="57"/>
  <c r="AI12" i="57"/>
  <c r="AF10" i="57"/>
  <c r="AF11" i="57"/>
  <c r="AF13" i="57"/>
  <c r="AF7" i="57"/>
  <c r="B31" i="24"/>
  <c r="B5" i="54" l="1"/>
  <c r="B22" i="2" l="1"/>
  <c r="B4" i="2" l="1"/>
  <c r="B415" i="2" l="1"/>
  <c r="B417" i="2" s="1"/>
  <c r="B405" i="2"/>
  <c r="B407" i="2" s="1"/>
  <c r="B443" i="2"/>
  <c r="B445" i="2" s="1"/>
  <c r="B339" i="2"/>
  <c r="B473" i="2" s="1"/>
  <c r="AA32" i="19"/>
  <c r="AC32" i="19" s="1"/>
  <c r="AA10" i="19"/>
  <c r="AC10" i="19" s="1"/>
  <c r="X32" i="19"/>
  <c r="Z32" i="19" s="1"/>
  <c r="X10" i="19"/>
  <c r="Z10" i="19" s="1"/>
  <c r="AA31" i="19"/>
  <c r="AC31" i="19" s="1"/>
  <c r="AA9" i="19"/>
  <c r="AC9" i="19" s="1"/>
  <c r="X31" i="19"/>
  <c r="Z31" i="19" s="1"/>
  <c r="X9" i="19"/>
  <c r="Z9" i="19" s="1"/>
  <c r="AA28" i="19"/>
  <c r="AC28" i="19" s="1"/>
  <c r="X28" i="19"/>
  <c r="Z28" i="19" s="1"/>
  <c r="AA25" i="19"/>
  <c r="AC25" i="19" s="1"/>
  <c r="X25" i="19"/>
  <c r="Z25" i="19" s="1"/>
  <c r="X17" i="19"/>
  <c r="Z17" i="19" s="1"/>
  <c r="AA22" i="19"/>
  <c r="AC22" i="19" s="1"/>
  <c r="X22" i="19"/>
  <c r="Z22" i="19" s="1"/>
  <c r="AA17" i="19"/>
  <c r="AC17" i="19" s="1"/>
  <c r="AA16" i="19"/>
  <c r="AC16" i="19" s="1"/>
  <c r="X16" i="19"/>
  <c r="Z16" i="19" s="1"/>
  <c r="AA13" i="19"/>
  <c r="AC13" i="19" s="1"/>
  <c r="X13" i="19"/>
  <c r="Z13" i="19" s="1"/>
  <c r="B318" i="2"/>
  <c r="B469" i="2" s="1"/>
  <c r="B303" i="2"/>
  <c r="B466" i="2" s="1"/>
  <c r="B357" i="2"/>
  <c r="B356" i="2"/>
  <c r="B197" i="2"/>
  <c r="B200" i="2" s="1"/>
  <c r="B266" i="2"/>
  <c r="B462" i="2" s="1"/>
  <c r="B228" i="2"/>
  <c r="B236" i="2"/>
  <c r="B458" i="2" s="1"/>
  <c r="AJ207" i="47"/>
  <c r="AB207" i="47"/>
  <c r="T207" i="47"/>
  <c r="L207" i="47"/>
  <c r="AH206" i="47"/>
  <c r="Z206" i="47"/>
  <c r="R206" i="47"/>
  <c r="J206" i="47"/>
  <c r="AF205" i="47"/>
  <c r="X205" i="47"/>
  <c r="P205" i="47"/>
  <c r="H205" i="47"/>
  <c r="AD204" i="47"/>
  <c r="V204" i="47"/>
  <c r="N204" i="47"/>
  <c r="AJ203" i="47"/>
  <c r="AB203" i="47"/>
  <c r="T203" i="47"/>
  <c r="L203" i="47"/>
  <c r="AH202" i="47"/>
  <c r="Z202" i="47"/>
  <c r="R202" i="47"/>
  <c r="J202" i="47"/>
  <c r="AF201" i="47"/>
  <c r="X201" i="47"/>
  <c r="P201" i="47"/>
  <c r="H201" i="47"/>
  <c r="AD200" i="47"/>
  <c r="V200" i="47"/>
  <c r="N200" i="47"/>
  <c r="AJ199" i="47"/>
  <c r="AB199" i="47"/>
  <c r="T199" i="47"/>
  <c r="L199" i="47"/>
  <c r="AH198" i="47"/>
  <c r="Z198" i="47"/>
  <c r="R198" i="47"/>
  <c r="J198" i="47"/>
  <c r="AF197" i="47"/>
  <c r="X197" i="47"/>
  <c r="P197" i="47"/>
  <c r="H197" i="47"/>
  <c r="AD196" i="47"/>
  <c r="V196" i="47"/>
  <c r="N196" i="47"/>
  <c r="AJ195" i="47"/>
  <c r="AB195" i="47"/>
  <c r="T195" i="47"/>
  <c r="L195" i="47"/>
  <c r="AH194" i="47"/>
  <c r="Z194" i="47"/>
  <c r="R194" i="47"/>
  <c r="J194" i="47"/>
  <c r="AF193" i="47"/>
  <c r="X193" i="47"/>
  <c r="P193" i="47"/>
  <c r="H193" i="47"/>
  <c r="AD192" i="47"/>
  <c r="V192" i="47"/>
  <c r="N192" i="47"/>
  <c r="AJ191" i="47"/>
  <c r="AB191" i="47"/>
  <c r="T191" i="47"/>
  <c r="L191" i="47"/>
  <c r="AH190" i="47"/>
  <c r="Z190" i="47"/>
  <c r="R190" i="47"/>
  <c r="J190" i="47"/>
  <c r="AF189" i="47"/>
  <c r="X189" i="47"/>
  <c r="P189" i="47"/>
  <c r="H189" i="47"/>
  <c r="AD188" i="47"/>
  <c r="V188" i="47"/>
  <c r="N188" i="47"/>
  <c r="AJ187" i="47"/>
  <c r="AB187" i="47"/>
  <c r="T187" i="47"/>
  <c r="L187" i="47"/>
  <c r="AH186" i="47"/>
  <c r="Z186" i="47"/>
  <c r="AI207" i="47"/>
  <c r="AA207" i="47"/>
  <c r="S207" i="47"/>
  <c r="K207" i="47"/>
  <c r="AG206" i="47"/>
  <c r="Y206" i="47"/>
  <c r="Q206" i="47"/>
  <c r="I206" i="47"/>
  <c r="AE205" i="47"/>
  <c r="W205" i="47"/>
  <c r="O205" i="47"/>
  <c r="G205" i="47"/>
  <c r="AC204" i="47"/>
  <c r="U204" i="47"/>
  <c r="M204" i="47"/>
  <c r="AI203" i="47"/>
  <c r="AA203" i="47"/>
  <c r="S203" i="47"/>
  <c r="K203" i="47"/>
  <c r="AG202" i="47"/>
  <c r="Y202" i="47"/>
  <c r="Q202" i="47"/>
  <c r="I202" i="47"/>
  <c r="AE201" i="47"/>
  <c r="W201" i="47"/>
  <c r="O201" i="47"/>
  <c r="G201" i="47"/>
  <c r="AC200" i="47"/>
  <c r="U200" i="47"/>
  <c r="M200" i="47"/>
  <c r="AI199" i="47"/>
  <c r="AA199" i="47"/>
  <c r="S199" i="47"/>
  <c r="K199" i="47"/>
  <c r="AG198" i="47"/>
  <c r="Y198" i="47"/>
  <c r="Q198" i="47"/>
  <c r="I198" i="47"/>
  <c r="AE197" i="47"/>
  <c r="W197" i="47"/>
  <c r="O197" i="47"/>
  <c r="G197" i="47"/>
  <c r="AC196" i="47"/>
  <c r="U196" i="47"/>
  <c r="M196" i="47"/>
  <c r="AI195" i="47"/>
  <c r="AA195" i="47"/>
  <c r="S195" i="47"/>
  <c r="K195" i="47"/>
  <c r="AG194" i="47"/>
  <c r="Y194" i="47"/>
  <c r="Q194" i="47"/>
  <c r="I194" i="47"/>
  <c r="AE193" i="47"/>
  <c r="W193" i="47"/>
  <c r="O193" i="47"/>
  <c r="G193" i="47"/>
  <c r="AC192" i="47"/>
  <c r="U192" i="47"/>
  <c r="M192" i="47"/>
  <c r="AI191" i="47"/>
  <c r="AA191" i="47"/>
  <c r="S191" i="47"/>
  <c r="K191" i="47"/>
  <c r="AG190" i="47"/>
  <c r="Y190" i="47"/>
  <c r="Q190" i="47"/>
  <c r="I190" i="47"/>
  <c r="AE189" i="47"/>
  <c r="W189" i="47"/>
  <c r="O189" i="47"/>
  <c r="G189" i="47"/>
  <c r="AC188" i="47"/>
  <c r="U188" i="47"/>
  <c r="M188" i="47"/>
  <c r="AI187" i="47"/>
  <c r="AA187" i="47"/>
  <c r="S187" i="47"/>
  <c r="K187" i="47"/>
  <c r="AG186" i="47"/>
  <c r="Y186" i="47"/>
  <c r="Q186" i="47"/>
  <c r="I186" i="47"/>
  <c r="AE185" i="47"/>
  <c r="W185" i="47"/>
  <c r="AH207" i="47"/>
  <c r="Z207" i="47"/>
  <c r="R207" i="47"/>
  <c r="J207" i="47"/>
  <c r="AF206" i="47"/>
  <c r="X206" i="47"/>
  <c r="P206" i="47"/>
  <c r="H206" i="47"/>
  <c r="AD205" i="47"/>
  <c r="V205" i="47"/>
  <c r="N205" i="47"/>
  <c r="AJ204" i="47"/>
  <c r="AB204" i="47"/>
  <c r="T204" i="47"/>
  <c r="L204" i="47"/>
  <c r="AH203" i="47"/>
  <c r="Z203" i="47"/>
  <c r="R203" i="47"/>
  <c r="J203" i="47"/>
  <c r="AF202" i="47"/>
  <c r="X202" i="47"/>
  <c r="P202" i="47"/>
  <c r="H202" i="47"/>
  <c r="AD201" i="47"/>
  <c r="V201" i="47"/>
  <c r="N201" i="47"/>
  <c r="AJ200" i="47"/>
  <c r="AB200" i="47"/>
  <c r="T200" i="47"/>
  <c r="L200" i="47"/>
  <c r="AH199" i="47"/>
  <c r="Z199" i="47"/>
  <c r="R199" i="47"/>
  <c r="J199" i="47"/>
  <c r="AF198" i="47"/>
  <c r="X198" i="47"/>
  <c r="P198" i="47"/>
  <c r="H198" i="47"/>
  <c r="AD197" i="47"/>
  <c r="V197" i="47"/>
  <c r="N197" i="47"/>
  <c r="AJ196" i="47"/>
  <c r="AG207" i="47"/>
  <c r="AF207" i="47"/>
  <c r="U207" i="47"/>
  <c r="G207" i="47"/>
  <c r="W206" i="47"/>
  <c r="L206" i="47"/>
  <c r="AB205" i="47"/>
  <c r="Q205" i="47"/>
  <c r="AG204" i="47"/>
  <c r="S204" i="47"/>
  <c r="H204" i="47"/>
  <c r="X203" i="47"/>
  <c r="M203" i="47"/>
  <c r="AC202" i="47"/>
  <c r="O202" i="47"/>
  <c r="AH201" i="47"/>
  <c r="T201" i="47"/>
  <c r="I201" i="47"/>
  <c r="Y200" i="47"/>
  <c r="K200" i="47"/>
  <c r="AD199" i="47"/>
  <c r="P199" i="47"/>
  <c r="AI198" i="47"/>
  <c r="U198" i="47"/>
  <c r="G198" i="47"/>
  <c r="Z197" i="47"/>
  <c r="L197" i="47"/>
  <c r="AE196" i="47"/>
  <c r="S196" i="47"/>
  <c r="I196" i="47"/>
  <c r="AC195" i="47"/>
  <c r="Q195" i="47"/>
  <c r="G195" i="47"/>
  <c r="AA194" i="47"/>
  <c r="O194" i="47"/>
  <c r="AI193" i="47"/>
  <c r="Y193" i="47"/>
  <c r="M193" i="47"/>
  <c r="AG192" i="47"/>
  <c r="W192" i="47"/>
  <c r="K192" i="47"/>
  <c r="AE191" i="47"/>
  <c r="U191" i="47"/>
  <c r="I191" i="47"/>
  <c r="AC190" i="47"/>
  <c r="S190" i="47"/>
  <c r="G190" i="47"/>
  <c r="AA189" i="47"/>
  <c r="Q189" i="47"/>
  <c r="AI188" i="47"/>
  <c r="Y188" i="47"/>
  <c r="O188" i="47"/>
  <c r="AG187" i="47"/>
  <c r="W187" i="47"/>
  <c r="M187" i="47"/>
  <c r="AE186" i="47"/>
  <c r="U186" i="47"/>
  <c r="L186" i="47"/>
  <c r="AG185" i="47"/>
  <c r="X185" i="47"/>
  <c r="O185" i="47"/>
  <c r="G185" i="47"/>
  <c r="AC184" i="47"/>
  <c r="U184" i="47"/>
  <c r="M184" i="47"/>
  <c r="AI183" i="47"/>
  <c r="AA183" i="47"/>
  <c r="S183" i="47"/>
  <c r="K183" i="47"/>
  <c r="AG182" i="47"/>
  <c r="Y182" i="47"/>
  <c r="Q182" i="47"/>
  <c r="I182" i="47"/>
  <c r="AE181" i="47"/>
  <c r="W181" i="47"/>
  <c r="O181" i="47"/>
  <c r="G181" i="47"/>
  <c r="AC180" i="47"/>
  <c r="U180" i="47"/>
  <c r="M180" i="47"/>
  <c r="AI179" i="47"/>
  <c r="AA179" i="47"/>
  <c r="S179" i="47"/>
  <c r="K179" i="47"/>
  <c r="AG178" i="47"/>
  <c r="Y178" i="47"/>
  <c r="AE207" i="47"/>
  <c r="Q207" i="47"/>
  <c r="AJ206" i="47"/>
  <c r="V206" i="47"/>
  <c r="K206" i="47"/>
  <c r="AA205" i="47"/>
  <c r="M205" i="47"/>
  <c r="AF204" i="47"/>
  <c r="R204" i="47"/>
  <c r="G204" i="47"/>
  <c r="W203" i="47"/>
  <c r="I203" i="47"/>
  <c r="AB202" i="47"/>
  <c r="N202" i="47"/>
  <c r="AG201" i="47"/>
  <c r="S201" i="47"/>
  <c r="AI200" i="47"/>
  <c r="X200" i="47"/>
  <c r="J200" i="47"/>
  <c r="AC199" i="47"/>
  <c r="O199" i="47"/>
  <c r="AE198" i="47"/>
  <c r="T198" i="47"/>
  <c r="AJ197" i="47"/>
  <c r="Y197" i="47"/>
  <c r="K197" i="47"/>
  <c r="AB196" i="47"/>
  <c r="R196" i="47"/>
  <c r="H196" i="47"/>
  <c r="Z195" i="47"/>
  <c r="P195" i="47"/>
  <c r="AJ194" i="47"/>
  <c r="X194" i="47"/>
  <c r="N194" i="47"/>
  <c r="AH193" i="47"/>
  <c r="V193" i="47"/>
  <c r="L193" i="47"/>
  <c r="AF192" i="47"/>
  <c r="T192" i="47"/>
  <c r="J192" i="47"/>
  <c r="AD191" i="47"/>
  <c r="R191" i="47"/>
  <c r="H191" i="47"/>
  <c r="AB190" i="47"/>
  <c r="P190" i="47"/>
  <c r="AJ189" i="47"/>
  <c r="Z189" i="47"/>
  <c r="N189" i="47"/>
  <c r="AH188" i="47"/>
  <c r="X188" i="47"/>
  <c r="L188" i="47"/>
  <c r="AF187" i="47"/>
  <c r="V187" i="47"/>
  <c r="J187" i="47"/>
  <c r="AD186" i="47"/>
  <c r="T186" i="47"/>
  <c r="K186" i="47"/>
  <c r="AF185" i="47"/>
  <c r="V185" i="47"/>
  <c r="N185" i="47"/>
  <c r="AJ184" i="47"/>
  <c r="AB184" i="47"/>
  <c r="T184" i="47"/>
  <c r="L184" i="47"/>
  <c r="AH183" i="47"/>
  <c r="Z183" i="47"/>
  <c r="R183" i="47"/>
  <c r="J183" i="47"/>
  <c r="AF182" i="47"/>
  <c r="X182" i="47"/>
  <c r="P182" i="47"/>
  <c r="H182" i="47"/>
  <c r="AD181" i="47"/>
  <c r="V181" i="47"/>
  <c r="N181" i="47"/>
  <c r="AJ180" i="47"/>
  <c r="AB180" i="47"/>
  <c r="T180" i="47"/>
  <c r="L180" i="47"/>
  <c r="AH179" i="47"/>
  <c r="Z179" i="47"/>
  <c r="R179" i="47"/>
  <c r="J179" i="47"/>
  <c r="AD207" i="47"/>
  <c r="P207" i="47"/>
  <c r="AI206" i="47"/>
  <c r="U206" i="47"/>
  <c r="G206" i="47"/>
  <c r="Z205" i="47"/>
  <c r="L205" i="47"/>
  <c r="AE204" i="47"/>
  <c r="Q204" i="47"/>
  <c r="AG203" i="47"/>
  <c r="V203" i="47"/>
  <c r="H203" i="47"/>
  <c r="AA202" i="47"/>
  <c r="M202" i="47"/>
  <c r="AC201" i="47"/>
  <c r="R201" i="47"/>
  <c r="AH200" i="47"/>
  <c r="W200" i="47"/>
  <c r="I200" i="47"/>
  <c r="Y199" i="47"/>
  <c r="N199" i="47"/>
  <c r="AD198" i="47"/>
  <c r="S198" i="47"/>
  <c r="AI197" i="47"/>
  <c r="U197" i="47"/>
  <c r="J197" i="47"/>
  <c r="AA196" i="47"/>
  <c r="Q196" i="47"/>
  <c r="G196" i="47"/>
  <c r="Y195" i="47"/>
  <c r="O195" i="47"/>
  <c r="AI194" i="47"/>
  <c r="W194" i="47"/>
  <c r="M194" i="47"/>
  <c r="AG193" i="47"/>
  <c r="U193" i="47"/>
  <c r="K193" i="47"/>
  <c r="AE192" i="47"/>
  <c r="S192" i="47"/>
  <c r="I192" i="47"/>
  <c r="AC191" i="47"/>
  <c r="Q191" i="47"/>
  <c r="G191" i="47"/>
  <c r="AA190" i="47"/>
  <c r="O190" i="47"/>
  <c r="AI189" i="47"/>
  <c r="Y189" i="47"/>
  <c r="M189" i="47"/>
  <c r="AG188" i="47"/>
  <c r="W188" i="47"/>
  <c r="K188" i="47"/>
  <c r="AE187" i="47"/>
  <c r="U187" i="47"/>
  <c r="I187" i="47"/>
  <c r="AC186" i="47"/>
  <c r="S186" i="47"/>
  <c r="J186" i="47"/>
  <c r="AD185" i="47"/>
  <c r="U185" i="47"/>
  <c r="M185" i="47"/>
  <c r="AI184" i="47"/>
  <c r="AA184" i="47"/>
  <c r="S184" i="47"/>
  <c r="K184" i="47"/>
  <c r="AG183" i="47"/>
  <c r="Y183" i="47"/>
  <c r="Q183" i="47"/>
  <c r="I183" i="47"/>
  <c r="AE182" i="47"/>
  <c r="W182" i="47"/>
  <c r="O182" i="47"/>
  <c r="G182" i="47"/>
  <c r="AC181" i="47"/>
  <c r="U181" i="47"/>
  <c r="M181" i="47"/>
  <c r="AI180" i="47"/>
  <c r="AA180" i="47"/>
  <c r="S180" i="47"/>
  <c r="K180" i="47"/>
  <c r="AG179" i="47"/>
  <c r="Y179" i="47"/>
  <c r="Q179" i="47"/>
  <c r="I179" i="47"/>
  <c r="V207" i="47"/>
  <c r="H207" i="47"/>
  <c r="AA206" i="47"/>
  <c r="M206" i="47"/>
  <c r="AC205" i="47"/>
  <c r="R205" i="47"/>
  <c r="AH204" i="47"/>
  <c r="W204" i="47"/>
  <c r="I204" i="47"/>
  <c r="AC207" i="47"/>
  <c r="AE206" i="47"/>
  <c r="AJ205" i="47"/>
  <c r="K205" i="47"/>
  <c r="P204" i="47"/>
  <c r="Y203" i="47"/>
  <c r="AI202" i="47"/>
  <c r="L202" i="47"/>
  <c r="Y201" i="47"/>
  <c r="AF200" i="47"/>
  <c r="O200" i="47"/>
  <c r="V199" i="47"/>
  <c r="AC198" i="47"/>
  <c r="L198" i="47"/>
  <c r="S197" i="47"/>
  <c r="AF196" i="47"/>
  <c r="L196" i="47"/>
  <c r="X195" i="47"/>
  <c r="I195" i="47"/>
  <c r="U194" i="47"/>
  <c r="AJ193" i="47"/>
  <c r="R193" i="47"/>
  <c r="AB192" i="47"/>
  <c r="O192" i="47"/>
  <c r="Y191" i="47"/>
  <c r="J191" i="47"/>
  <c r="V190" i="47"/>
  <c r="AH189" i="47"/>
  <c r="S189" i="47"/>
  <c r="AE188" i="47"/>
  <c r="P188" i="47"/>
  <c r="Z187" i="47"/>
  <c r="H187" i="47"/>
  <c r="W186" i="47"/>
  <c r="G186" i="47"/>
  <c r="Y185" i="47"/>
  <c r="J185" i="47"/>
  <c r="Z184" i="47"/>
  <c r="O184" i="47"/>
  <c r="AE183" i="47"/>
  <c r="T183" i="47"/>
  <c r="AJ182" i="47"/>
  <c r="V182" i="47"/>
  <c r="K182" i="47"/>
  <c r="AA181" i="47"/>
  <c r="P181" i="47"/>
  <c r="AF180" i="47"/>
  <c r="R180" i="47"/>
  <c r="G180" i="47"/>
  <c r="W179" i="47"/>
  <c r="L179" i="47"/>
  <c r="AD178" i="47"/>
  <c r="U178" i="47"/>
  <c r="M178" i="47"/>
  <c r="AI177" i="47"/>
  <c r="AA177" i="47"/>
  <c r="S177" i="47"/>
  <c r="K177" i="47"/>
  <c r="AG176" i="47"/>
  <c r="Y176" i="47"/>
  <c r="Q176" i="47"/>
  <c r="I176" i="47"/>
  <c r="AE175" i="47"/>
  <c r="W175" i="47"/>
  <c r="O175" i="47"/>
  <c r="G175" i="47"/>
  <c r="AC174" i="47"/>
  <c r="U174" i="47"/>
  <c r="M174" i="47"/>
  <c r="AI173" i="47"/>
  <c r="AA173" i="47"/>
  <c r="S173" i="47"/>
  <c r="K173" i="47"/>
  <c r="AG172" i="47"/>
  <c r="Y172" i="47"/>
  <c r="Q172" i="47"/>
  <c r="I172" i="47"/>
  <c r="AE171" i="47"/>
  <c r="W171" i="47"/>
  <c r="O171" i="47"/>
  <c r="G171" i="47"/>
  <c r="AC170" i="47"/>
  <c r="U170" i="47"/>
  <c r="M170" i="47"/>
  <c r="AI169" i="47"/>
  <c r="AA169" i="47"/>
  <c r="S169" i="47"/>
  <c r="K169" i="47"/>
  <c r="AG168" i="47"/>
  <c r="Y168" i="47"/>
  <c r="Q168" i="47"/>
  <c r="I168" i="47"/>
  <c r="AE167" i="47"/>
  <c r="W167" i="47"/>
  <c r="O167" i="47"/>
  <c r="G167" i="47"/>
  <c r="AC166" i="47"/>
  <c r="U166" i="47"/>
  <c r="Y207" i="47"/>
  <c r="AD206" i="47"/>
  <c r="AI205" i="47"/>
  <c r="J205" i="47"/>
  <c r="O204" i="47"/>
  <c r="U203" i="47"/>
  <c r="AE202" i="47"/>
  <c r="K202" i="47"/>
  <c r="U201" i="47"/>
  <c r="AE200" i="47"/>
  <c r="H200" i="47"/>
  <c r="U199" i="47"/>
  <c r="AB198" i="47"/>
  <c r="K198" i="47"/>
  <c r="R197" i="47"/>
  <c r="Z196" i="47"/>
  <c r="K196" i="47"/>
  <c r="W195" i="47"/>
  <c r="H195" i="47"/>
  <c r="T194" i="47"/>
  <c r="AD193" i="47"/>
  <c r="Q193" i="47"/>
  <c r="AA192" i="47"/>
  <c r="L192" i="47"/>
  <c r="X191" i="47"/>
  <c r="AJ190" i="47"/>
  <c r="U190" i="47"/>
  <c r="AG189" i="47"/>
  <c r="R189" i="47"/>
  <c r="AB188" i="47"/>
  <c r="J188" i="47"/>
  <c r="Y187" i="47"/>
  <c r="G187" i="47"/>
  <c r="V186" i="47"/>
  <c r="AJ185" i="47"/>
  <c r="T185" i="47"/>
  <c r="I185" i="47"/>
  <c r="Y184" i="47"/>
  <c r="N184" i="47"/>
  <c r="AD183" i="47"/>
  <c r="P183" i="47"/>
  <c r="AI182" i="47"/>
  <c r="U182" i="47"/>
  <c r="J182" i="47"/>
  <c r="Z181" i="47"/>
  <c r="L181" i="47"/>
  <c r="AE180" i="47"/>
  <c r="Q180" i="47"/>
  <c r="AJ179" i="47"/>
  <c r="V179" i="47"/>
  <c r="H179" i="47"/>
  <c r="AC178" i="47"/>
  <c r="T178" i="47"/>
  <c r="L178" i="47"/>
  <c r="AH177" i="47"/>
  <c r="Z177" i="47"/>
  <c r="R177" i="47"/>
  <c r="J177" i="47"/>
  <c r="AF176" i="47"/>
  <c r="X176" i="47"/>
  <c r="P176" i="47"/>
  <c r="H176" i="47"/>
  <c r="AD175" i="47"/>
  <c r="V175" i="47"/>
  <c r="N175" i="47"/>
  <c r="AJ174" i="47"/>
  <c r="AB174" i="47"/>
  <c r="T174" i="47"/>
  <c r="L174" i="47"/>
  <c r="AH173" i="47"/>
  <c r="Z173" i="47"/>
  <c r="R173" i="47"/>
  <c r="J173" i="47"/>
  <c r="AF172" i="47"/>
  <c r="X172" i="47"/>
  <c r="P172" i="47"/>
  <c r="H172" i="47"/>
  <c r="AD171" i="47"/>
  <c r="V171" i="47"/>
  <c r="N171" i="47"/>
  <c r="AJ170" i="47"/>
  <c r="AB170" i="47"/>
  <c r="T170" i="47"/>
  <c r="L170" i="47"/>
  <c r="AH169" i="47"/>
  <c r="Z169" i="47"/>
  <c r="R169" i="47"/>
  <c r="J169" i="47"/>
  <c r="AF168" i="47"/>
  <c r="X168" i="47"/>
  <c r="P168" i="47"/>
  <c r="X207" i="47"/>
  <c r="AC206" i="47"/>
  <c r="AH205" i="47"/>
  <c r="I205" i="47"/>
  <c r="K204" i="47"/>
  <c r="Q203" i="47"/>
  <c r="AD202" i="47"/>
  <c r="G202" i="47"/>
  <c r="Q201" i="47"/>
  <c r="AA200" i="47"/>
  <c r="G200" i="47"/>
  <c r="Q199" i="47"/>
  <c r="AA198" i="47"/>
  <c r="AH197" i="47"/>
  <c r="Q197" i="47"/>
  <c r="Y196" i="47"/>
  <c r="J196" i="47"/>
  <c r="V195" i="47"/>
  <c r="AF194" i="47"/>
  <c r="S194" i="47"/>
  <c r="AC193" i="47"/>
  <c r="N193" i="47"/>
  <c r="Z192" i="47"/>
  <c r="H192" i="47"/>
  <c r="W191" i="47"/>
  <c r="AI190" i="47"/>
  <c r="T190" i="47"/>
  <c r="AD189" i="47"/>
  <c r="L189" i="47"/>
  <c r="AA188" i="47"/>
  <c r="I188" i="47"/>
  <c r="X187" i="47"/>
  <c r="AJ186" i="47"/>
  <c r="R186" i="47"/>
  <c r="AI185" i="47"/>
  <c r="S185" i="47"/>
  <c r="H185" i="47"/>
  <c r="X184" i="47"/>
  <c r="J184" i="47"/>
  <c r="AC183" i="47"/>
  <c r="O183" i="47"/>
  <c r="AH182" i="47"/>
  <c r="T182" i="47"/>
  <c r="AJ181" i="47"/>
  <c r="Y181" i="47"/>
  <c r="K181" i="47"/>
  <c r="AD180" i="47"/>
  <c r="P180" i="47"/>
  <c r="AF179" i="47"/>
  <c r="U179" i="47"/>
  <c r="G179" i="47"/>
  <c r="AB178" i="47"/>
  <c r="S178" i="47"/>
  <c r="K178" i="47"/>
  <c r="AG177" i="47"/>
  <c r="Y177" i="47"/>
  <c r="Q177" i="47"/>
  <c r="I177" i="47"/>
  <c r="AE176" i="47"/>
  <c r="W176" i="47"/>
  <c r="O176" i="47"/>
  <c r="G176" i="47"/>
  <c r="AC175" i="47"/>
  <c r="U175" i="47"/>
  <c r="M175" i="47"/>
  <c r="AI174" i="47"/>
  <c r="AA174" i="47"/>
  <c r="S174" i="47"/>
  <c r="K174" i="47"/>
  <c r="AG173" i="47"/>
  <c r="Y173" i="47"/>
  <c r="Q173" i="47"/>
  <c r="I173" i="47"/>
  <c r="AE172" i="47"/>
  <c r="W172" i="47"/>
  <c r="O172" i="47"/>
  <c r="G172" i="47"/>
  <c r="AC171" i="47"/>
  <c r="U171" i="47"/>
  <c r="M171" i="47"/>
  <c r="AI170" i="47"/>
  <c r="AA170" i="47"/>
  <c r="S170" i="47"/>
  <c r="K170" i="47"/>
  <c r="AG169" i="47"/>
  <c r="W207" i="47"/>
  <c r="AB206" i="47"/>
  <c r="AG205" i="47"/>
  <c r="AI204" i="47"/>
  <c r="J204" i="47"/>
  <c r="P203" i="47"/>
  <c r="W202" i="47"/>
  <c r="AJ201" i="47"/>
  <c r="M201" i="47"/>
  <c r="Z200" i="47"/>
  <c r="AG199" i="47"/>
  <c r="M199" i="47"/>
  <c r="W198" i="47"/>
  <c r="AG197" i="47"/>
  <c r="O207" i="47"/>
  <c r="N207" i="47"/>
  <c r="M207" i="47"/>
  <c r="O206" i="47"/>
  <c r="T205" i="47"/>
  <c r="Y204" i="47"/>
  <c r="AD203" i="47"/>
  <c r="G203" i="47"/>
  <c r="T202" i="47"/>
  <c r="AA201" i="47"/>
  <c r="J201" i="47"/>
  <c r="Q200" i="47"/>
  <c r="X199" i="47"/>
  <c r="G199" i="47"/>
  <c r="N198" i="47"/>
  <c r="AA197" i="47"/>
  <c r="AH196" i="47"/>
  <c r="P196" i="47"/>
  <c r="AE195" i="47"/>
  <c r="M195" i="47"/>
  <c r="AB194" i="47"/>
  <c r="H194" i="47"/>
  <c r="T193" i="47"/>
  <c r="AI192" i="47"/>
  <c r="Q192" i="47"/>
  <c r="AF191" i="47"/>
  <c r="N191" i="47"/>
  <c r="X190" i="47"/>
  <c r="K190" i="47"/>
  <c r="U189" i="47"/>
  <c r="AJ188" i="47"/>
  <c r="R188" i="47"/>
  <c r="AD187" i="47"/>
  <c r="O187" i="47"/>
  <c r="AA186" i="47"/>
  <c r="M186" i="47"/>
  <c r="AA185" i="47"/>
  <c r="L185" i="47"/>
  <c r="AE184" i="47"/>
  <c r="Q184" i="47"/>
  <c r="AJ183" i="47"/>
  <c r="V183" i="47"/>
  <c r="H183" i="47"/>
  <c r="AA182" i="47"/>
  <c r="M182" i="47"/>
  <c r="AF181" i="47"/>
  <c r="R181" i="47"/>
  <c r="AH180" i="47"/>
  <c r="W180" i="47"/>
  <c r="I180" i="47"/>
  <c r="AB179" i="47"/>
  <c r="N179" i="47"/>
  <c r="AF178" i="47"/>
  <c r="W178" i="47"/>
  <c r="O178" i="47"/>
  <c r="G178" i="47"/>
  <c r="AC177" i="47"/>
  <c r="U177" i="47"/>
  <c r="M177" i="47"/>
  <c r="AI176" i="47"/>
  <c r="AA176" i="47"/>
  <c r="S176" i="47"/>
  <c r="K176" i="47"/>
  <c r="AG175" i="47"/>
  <c r="Y175" i="47"/>
  <c r="Q175" i="47"/>
  <c r="I175" i="47"/>
  <c r="AE174" i="47"/>
  <c r="W174" i="47"/>
  <c r="O174" i="47"/>
  <c r="G174" i="47"/>
  <c r="AC173" i="47"/>
  <c r="U173" i="47"/>
  <c r="I207" i="47"/>
  <c r="N206" i="47"/>
  <c r="S205" i="47"/>
  <c r="X204" i="47"/>
  <c r="AC203" i="47"/>
  <c r="AJ202" i="47"/>
  <c r="S202" i="47"/>
  <c r="Z201" i="47"/>
  <c r="AG200" i="47"/>
  <c r="P200" i="47"/>
  <c r="W199" i="47"/>
  <c r="AJ198" i="47"/>
  <c r="M198" i="47"/>
  <c r="T197" i="47"/>
  <c r="T206" i="47"/>
  <c r="O203" i="47"/>
  <c r="S200" i="47"/>
  <c r="AC197" i="47"/>
  <c r="T196" i="47"/>
  <c r="N195" i="47"/>
  <c r="K194" i="47"/>
  <c r="AJ192" i="47"/>
  <c r="AG191" i="47"/>
  <c r="AD190" i="47"/>
  <c r="V189" i="47"/>
  <c r="S188" i="47"/>
  <c r="P187" i="47"/>
  <c r="N186" i="47"/>
  <c r="P185" i="47"/>
  <c r="R184" i="47"/>
  <c r="W183" i="47"/>
  <c r="AB182" i="47"/>
  <c r="AG181" i="47"/>
  <c r="H181" i="47"/>
  <c r="J180" i="47"/>
  <c r="O179" i="47"/>
  <c r="X178" i="47"/>
  <c r="H178" i="47"/>
  <c r="V177" i="47"/>
  <c r="AJ176" i="47"/>
  <c r="T176" i="47"/>
  <c r="AH175" i="47"/>
  <c r="R175" i="47"/>
  <c r="AF174" i="47"/>
  <c r="P174" i="47"/>
  <c r="AD173" i="47"/>
  <c r="N173" i="47"/>
  <c r="AD172" i="47"/>
  <c r="S172" i="47"/>
  <c r="AI171" i="47"/>
  <c r="X171" i="47"/>
  <c r="J171" i="47"/>
  <c r="Z170" i="47"/>
  <c r="O170" i="47"/>
  <c r="AE169" i="47"/>
  <c r="U169" i="47"/>
  <c r="I169" i="47"/>
  <c r="AC168" i="47"/>
  <c r="S168" i="47"/>
  <c r="H168" i="47"/>
  <c r="AC167" i="47"/>
  <c r="T167" i="47"/>
  <c r="K167" i="47"/>
  <c r="AF166" i="47"/>
  <c r="W166" i="47"/>
  <c r="N166" i="47"/>
  <c r="AJ165" i="47"/>
  <c r="AB165" i="47"/>
  <c r="T165" i="47"/>
  <c r="L165" i="47"/>
  <c r="AH164" i="47"/>
  <c r="Z164" i="47"/>
  <c r="R164" i="47"/>
  <c r="J164" i="47"/>
  <c r="AF163" i="47"/>
  <c r="X163" i="47"/>
  <c r="P163" i="47"/>
  <c r="H163" i="47"/>
  <c r="AD162" i="47"/>
  <c r="V162" i="47"/>
  <c r="N162" i="47"/>
  <c r="AJ161" i="47"/>
  <c r="AB161" i="47"/>
  <c r="T161" i="47"/>
  <c r="L161" i="47"/>
  <c r="AH160" i="47"/>
  <c r="Z160" i="47"/>
  <c r="R160" i="47"/>
  <c r="J160" i="47"/>
  <c r="AF159" i="47"/>
  <c r="X159" i="47"/>
  <c r="P159" i="47"/>
  <c r="H159" i="47"/>
  <c r="AD158" i="47"/>
  <c r="V158" i="47"/>
  <c r="N158" i="47"/>
  <c r="AJ157" i="47"/>
  <c r="AB157" i="47"/>
  <c r="T157" i="47"/>
  <c r="L157" i="47"/>
  <c r="AH156" i="47"/>
  <c r="Z156" i="47"/>
  <c r="R156" i="47"/>
  <c r="J156" i="47"/>
  <c r="AF155" i="47"/>
  <c r="X155" i="47"/>
  <c r="S206" i="47"/>
  <c r="N203" i="47"/>
  <c r="R200" i="47"/>
  <c r="AB197" i="47"/>
  <c r="O196" i="47"/>
  <c r="J195" i="47"/>
  <c r="G194" i="47"/>
  <c r="AH192" i="47"/>
  <c r="Z191" i="47"/>
  <c r="W190" i="47"/>
  <c r="T189" i="47"/>
  <c r="Q188" i="47"/>
  <c r="N187" i="47"/>
  <c r="H186" i="47"/>
  <c r="K185" i="47"/>
  <c r="P184" i="47"/>
  <c r="U183" i="47"/>
  <c r="Z182" i="47"/>
  <c r="AB181" i="47"/>
  <c r="AG180" i="47"/>
  <c r="H180" i="47"/>
  <c r="M179" i="47"/>
  <c r="V178" i="47"/>
  <c r="AJ177" i="47"/>
  <c r="T177" i="47"/>
  <c r="AH176" i="47"/>
  <c r="R176" i="47"/>
  <c r="AF175" i="47"/>
  <c r="P175" i="47"/>
  <c r="AD174" i="47"/>
  <c r="N174" i="47"/>
  <c r="AB173" i="47"/>
  <c r="M173" i="47"/>
  <c r="AC172" i="47"/>
  <c r="R172" i="47"/>
  <c r="AH171" i="47"/>
  <c r="T171" i="47"/>
  <c r="I171" i="47"/>
  <c r="Y170" i="47"/>
  <c r="N170" i="47"/>
  <c r="AD169" i="47"/>
  <c r="T169" i="47"/>
  <c r="H169" i="47"/>
  <c r="AB168" i="47"/>
  <c r="R168" i="47"/>
  <c r="G168" i="47"/>
  <c r="AB167" i="47"/>
  <c r="S167" i="47"/>
  <c r="J167" i="47"/>
  <c r="AE166" i="47"/>
  <c r="V166" i="47"/>
  <c r="M166" i="47"/>
  <c r="AI165" i="47"/>
  <c r="AA165" i="47"/>
  <c r="S165" i="47"/>
  <c r="K165" i="47"/>
  <c r="AG164" i="47"/>
  <c r="Y164" i="47"/>
  <c r="Q164" i="47"/>
  <c r="I164" i="47"/>
  <c r="AE163" i="47"/>
  <c r="W163" i="47"/>
  <c r="O163" i="47"/>
  <c r="G163" i="47"/>
  <c r="AC162" i="47"/>
  <c r="U162" i="47"/>
  <c r="M162" i="47"/>
  <c r="AI161" i="47"/>
  <c r="AA161" i="47"/>
  <c r="S161" i="47"/>
  <c r="K161" i="47"/>
  <c r="AG160" i="47"/>
  <c r="Y160" i="47"/>
  <c r="Q160" i="47"/>
  <c r="I160" i="47"/>
  <c r="AE159" i="47"/>
  <c r="W159" i="47"/>
  <c r="O159" i="47"/>
  <c r="G159" i="47"/>
  <c r="AC158" i="47"/>
  <c r="U158" i="47"/>
  <c r="M158" i="47"/>
  <c r="AI157" i="47"/>
  <c r="Y205" i="47"/>
  <c r="V202" i="47"/>
  <c r="AF199" i="47"/>
  <c r="M197" i="47"/>
  <c r="AH195" i="47"/>
  <c r="AE194" i="47"/>
  <c r="AB193" i="47"/>
  <c r="Y192" i="47"/>
  <c r="V191" i="47"/>
  <c r="N190" i="47"/>
  <c r="K189" i="47"/>
  <c r="H188" i="47"/>
  <c r="AI186" i="47"/>
  <c r="AH185" i="47"/>
  <c r="AH184" i="47"/>
  <c r="I184" i="47"/>
  <c r="N183" i="47"/>
  <c r="S182" i="47"/>
  <c r="X181" i="47"/>
  <c r="Z180" i="47"/>
  <c r="AE179" i="47"/>
  <c r="AJ178" i="47"/>
  <c r="R178" i="47"/>
  <c r="AF177" i="47"/>
  <c r="P177" i="47"/>
  <c r="AD176" i="47"/>
  <c r="N176" i="47"/>
  <c r="AB175" i="47"/>
  <c r="L175" i="47"/>
  <c r="Z174" i="47"/>
  <c r="J174" i="47"/>
  <c r="X173" i="47"/>
  <c r="L173" i="47"/>
  <c r="AB172" i="47"/>
  <c r="N172" i="47"/>
  <c r="AG171" i="47"/>
  <c r="S171" i="47"/>
  <c r="H171" i="47"/>
  <c r="X170" i="47"/>
  <c r="J170" i="47"/>
  <c r="AC169" i="47"/>
  <c r="Q169" i="47"/>
  <c r="G169" i="47"/>
  <c r="AA168" i="47"/>
  <c r="O168" i="47"/>
  <c r="AJ167" i="47"/>
  <c r="AA167" i="47"/>
  <c r="R167" i="47"/>
  <c r="I167" i="47"/>
  <c r="AD166" i="47"/>
  <c r="T166" i="47"/>
  <c r="L166" i="47"/>
  <c r="AH165" i="47"/>
  <c r="Z165" i="47"/>
  <c r="R165" i="47"/>
  <c r="J165" i="47"/>
  <c r="AF164" i="47"/>
  <c r="X164" i="47"/>
  <c r="P164" i="47"/>
  <c r="H164" i="47"/>
  <c r="AD163" i="47"/>
  <c r="V163" i="47"/>
  <c r="N163" i="47"/>
  <c r="AJ162" i="47"/>
  <c r="AB162" i="47"/>
  <c r="T162" i="47"/>
  <c r="L162" i="47"/>
  <c r="AH161" i="47"/>
  <c r="Z161" i="47"/>
  <c r="R161" i="47"/>
  <c r="J161" i="47"/>
  <c r="AF160" i="47"/>
  <c r="X160" i="47"/>
  <c r="P160" i="47"/>
  <c r="H160" i="47"/>
  <c r="AD159" i="47"/>
  <c r="V159" i="47"/>
  <c r="N159" i="47"/>
  <c r="AJ158" i="47"/>
  <c r="AB158" i="47"/>
  <c r="T158" i="47"/>
  <c r="L158" i="47"/>
  <c r="AH157" i="47"/>
  <c r="Z157" i="47"/>
  <c r="R157" i="47"/>
  <c r="J157" i="47"/>
  <c r="AF156" i="47"/>
  <c r="X156" i="47"/>
  <c r="P156" i="47"/>
  <c r="H156" i="47"/>
  <c r="AE203" i="47"/>
  <c r="K201" i="47"/>
  <c r="O198" i="47"/>
  <c r="W196" i="47"/>
  <c r="R195" i="47"/>
  <c r="L194" i="47"/>
  <c r="I193" i="47"/>
  <c r="AH191" i="47"/>
  <c r="AE190" i="47"/>
  <c r="AB189" i="47"/>
  <c r="T188" i="47"/>
  <c r="Q187" i="47"/>
  <c r="O186" i="47"/>
  <c r="Q185" i="47"/>
  <c r="V184" i="47"/>
  <c r="X183" i="47"/>
  <c r="AC182" i="47"/>
  <c r="AH181" i="47"/>
  <c r="I181" i="47"/>
  <c r="N180" i="47"/>
  <c r="P179" i="47"/>
  <c r="Z178" i="47"/>
  <c r="I178" i="47"/>
  <c r="W177" i="47"/>
  <c r="G177" i="47"/>
  <c r="U176" i="47"/>
  <c r="AI175" i="47"/>
  <c r="S175" i="47"/>
  <c r="AG174" i="47"/>
  <c r="Q174" i="47"/>
  <c r="AE173" i="47"/>
  <c r="O173" i="47"/>
  <c r="AH172" i="47"/>
  <c r="T172" i="47"/>
  <c r="AJ171" i="47"/>
  <c r="Y171" i="47"/>
  <c r="K171" i="47"/>
  <c r="AD170" i="47"/>
  <c r="P170" i="47"/>
  <c r="AF169" i="47"/>
  <c r="V169" i="47"/>
  <c r="L169" i="47"/>
  <c r="AD168" i="47"/>
  <c r="T168" i="47"/>
  <c r="J168" i="47"/>
  <c r="AD167" i="47"/>
  <c r="U167" i="47"/>
  <c r="L167" i="47"/>
  <c r="AG166" i="47"/>
  <c r="X166" i="47"/>
  <c r="O166" i="47"/>
  <c r="G166" i="47"/>
  <c r="AC165" i="47"/>
  <c r="U165" i="47"/>
  <c r="M165" i="47"/>
  <c r="AI164" i="47"/>
  <c r="AA164" i="47"/>
  <c r="S164" i="47"/>
  <c r="K164" i="47"/>
  <c r="AG163" i="47"/>
  <c r="Y163" i="47"/>
  <c r="Q163" i="47"/>
  <c r="I163" i="47"/>
  <c r="AE162" i="47"/>
  <c r="W162" i="47"/>
  <c r="O162" i="47"/>
  <c r="G162" i="47"/>
  <c r="AC161" i="47"/>
  <c r="U161" i="47"/>
  <c r="M161" i="47"/>
  <c r="AI160" i="47"/>
  <c r="AA160" i="47"/>
  <c r="S160" i="47"/>
  <c r="K160" i="47"/>
  <c r="AG159" i="47"/>
  <c r="Y159" i="47"/>
  <c r="Q159" i="47"/>
  <c r="I159" i="47"/>
  <c r="AE158" i="47"/>
  <c r="W158" i="47"/>
  <c r="O158" i="47"/>
  <c r="G158" i="47"/>
  <c r="AC157" i="47"/>
  <c r="U157" i="47"/>
  <c r="M157" i="47"/>
  <c r="U205" i="47"/>
  <c r="AE199" i="47"/>
  <c r="AG195" i="47"/>
  <c r="AA193" i="47"/>
  <c r="P191" i="47"/>
  <c r="J189" i="47"/>
  <c r="AF186" i="47"/>
  <c r="AG184" i="47"/>
  <c r="M183" i="47"/>
  <c r="T181" i="47"/>
  <c r="AD179" i="47"/>
  <c r="Q178" i="47"/>
  <c r="O177" i="47"/>
  <c r="M176" i="47"/>
  <c r="K175" i="47"/>
  <c r="I174" i="47"/>
  <c r="H173" i="47"/>
  <c r="M172" i="47"/>
  <c r="R171" i="47"/>
  <c r="W170" i="47"/>
  <c r="AB169" i="47"/>
  <c r="AJ168" i="47"/>
  <c r="N168" i="47"/>
  <c r="Z167" i="47"/>
  <c r="H167" i="47"/>
  <c r="S166" i="47"/>
  <c r="AG165" i="47"/>
  <c r="Q165" i="47"/>
  <c r="AE164" i="47"/>
  <c r="O164" i="47"/>
  <c r="AC163" i="47"/>
  <c r="M163" i="47"/>
  <c r="AA162" i="47"/>
  <c r="K162" i="47"/>
  <c r="Y161" i="47"/>
  <c r="I161" i="47"/>
  <c r="W160" i="47"/>
  <c r="G160" i="47"/>
  <c r="U159" i="47"/>
  <c r="AI158" i="47"/>
  <c r="S158" i="47"/>
  <c r="AG157" i="47"/>
  <c r="V157" i="47"/>
  <c r="H157" i="47"/>
  <c r="AB156" i="47"/>
  <c r="Q156" i="47"/>
  <c r="AJ155" i="47"/>
  <c r="AA155" i="47"/>
  <c r="R155" i="47"/>
  <c r="J155" i="47"/>
  <c r="AF154" i="47"/>
  <c r="X154" i="47"/>
  <c r="P154" i="47"/>
  <c r="H154" i="47"/>
  <c r="AD153" i="47"/>
  <c r="V153" i="47"/>
  <c r="N153" i="47"/>
  <c r="AJ152" i="47"/>
  <c r="AB152" i="47"/>
  <c r="T152" i="47"/>
  <c r="L152" i="47"/>
  <c r="AH151" i="47"/>
  <c r="Z151" i="47"/>
  <c r="R151" i="47"/>
  <c r="J151" i="47"/>
  <c r="AF150" i="47"/>
  <c r="X150" i="47"/>
  <c r="P150" i="47"/>
  <c r="H150" i="47"/>
  <c r="AD149" i="47"/>
  <c r="V149" i="47"/>
  <c r="N149" i="47"/>
  <c r="AJ148" i="47"/>
  <c r="AB148" i="47"/>
  <c r="T148" i="47"/>
  <c r="L148" i="47"/>
  <c r="AH147" i="47"/>
  <c r="Z147" i="47"/>
  <c r="R147" i="47"/>
  <c r="J147" i="47"/>
  <c r="AF146" i="47"/>
  <c r="X146" i="47"/>
  <c r="P146" i="47"/>
  <c r="H146" i="47"/>
  <c r="AD145" i="47"/>
  <c r="V145" i="47"/>
  <c r="N145" i="47"/>
  <c r="AJ144" i="47"/>
  <c r="AB144" i="47"/>
  <c r="T144" i="47"/>
  <c r="L144" i="47"/>
  <c r="AH143" i="47"/>
  <c r="Z143" i="47"/>
  <c r="R143" i="47"/>
  <c r="J143" i="47"/>
  <c r="AF142" i="47"/>
  <c r="X142" i="47"/>
  <c r="P142" i="47"/>
  <c r="H142" i="47"/>
  <c r="AD141" i="47"/>
  <c r="V141" i="47"/>
  <c r="N141" i="47"/>
  <c r="AJ140" i="47"/>
  <c r="AB140" i="47"/>
  <c r="T140" i="47"/>
  <c r="L140" i="47"/>
  <c r="AH139" i="47"/>
  <c r="Z139" i="47"/>
  <c r="R139" i="47"/>
  <c r="J139" i="47"/>
  <c r="AF138" i="47"/>
  <c r="X138" i="47"/>
  <c r="P138" i="47"/>
  <c r="H138" i="47"/>
  <c r="AD137" i="47"/>
  <c r="V137" i="47"/>
  <c r="N137" i="47"/>
  <c r="AJ136" i="47"/>
  <c r="AB136" i="47"/>
  <c r="T136" i="47"/>
  <c r="L136" i="47"/>
  <c r="AH135" i="47"/>
  <c r="Z135" i="47"/>
  <c r="R135" i="47"/>
  <c r="J135" i="47"/>
  <c r="AF134" i="47"/>
  <c r="X134" i="47"/>
  <c r="P134" i="47"/>
  <c r="H134" i="47"/>
  <c r="AD133" i="47"/>
  <c r="V133" i="47"/>
  <c r="N133" i="47"/>
  <c r="AJ132" i="47"/>
  <c r="AB132" i="47"/>
  <c r="T132" i="47"/>
  <c r="L132" i="47"/>
  <c r="AH131" i="47"/>
  <c r="Z131" i="47"/>
  <c r="R131" i="47"/>
  <c r="J131" i="47"/>
  <c r="AF130" i="47"/>
  <c r="X130" i="47"/>
  <c r="P130" i="47"/>
  <c r="H130" i="47"/>
  <c r="AD129" i="47"/>
  <c r="V129" i="47"/>
  <c r="N129" i="47"/>
  <c r="AJ128" i="47"/>
  <c r="AB128" i="47"/>
  <c r="T128" i="47"/>
  <c r="L128" i="47"/>
  <c r="AH127" i="47"/>
  <c r="Z127" i="47"/>
  <c r="R127" i="47"/>
  <c r="J127" i="47"/>
  <c r="AF126" i="47"/>
  <c r="X126" i="47"/>
  <c r="P126" i="47"/>
  <c r="H126" i="47"/>
  <c r="AD125" i="47"/>
  <c r="V125" i="47"/>
  <c r="N125" i="47"/>
  <c r="AJ124" i="47"/>
  <c r="AB124" i="47"/>
  <c r="T124" i="47"/>
  <c r="L124" i="47"/>
  <c r="AH123" i="47"/>
  <c r="Z123" i="47"/>
  <c r="R123" i="47"/>
  <c r="J123" i="47"/>
  <c r="AA204" i="47"/>
  <c r="I199" i="47"/>
  <c r="AF195" i="47"/>
  <c r="Z193" i="47"/>
  <c r="O191" i="47"/>
  <c r="I189" i="47"/>
  <c r="AB186" i="47"/>
  <c r="AF184" i="47"/>
  <c r="L183" i="47"/>
  <c r="S181" i="47"/>
  <c r="AC179" i="47"/>
  <c r="P178" i="47"/>
  <c r="N177" i="47"/>
  <c r="L176" i="47"/>
  <c r="J175" i="47"/>
  <c r="H174" i="47"/>
  <c r="G173" i="47"/>
  <c r="L172" i="47"/>
  <c r="Q171" i="47"/>
  <c r="V170" i="47"/>
  <c r="Y169" i="47"/>
  <c r="AI168" i="47"/>
  <c r="M168" i="47"/>
  <c r="Y167" i="47"/>
  <c r="AJ166" i="47"/>
  <c r="R166" i="47"/>
  <c r="AF165" i="47"/>
  <c r="P165" i="47"/>
  <c r="AD164" i="47"/>
  <c r="N164" i="47"/>
  <c r="AB163" i="47"/>
  <c r="L163" i="47"/>
  <c r="Z162" i="47"/>
  <c r="J162" i="47"/>
  <c r="X161" i="47"/>
  <c r="H161" i="47"/>
  <c r="V160" i="47"/>
  <c r="AJ159" i="47"/>
  <c r="T159" i="47"/>
  <c r="AH158" i="47"/>
  <c r="R158" i="47"/>
  <c r="AF157" i="47"/>
  <c r="S157" i="47"/>
  <c r="G157" i="47"/>
  <c r="AA156" i="47"/>
  <c r="O156" i="47"/>
  <c r="AI155" i="47"/>
  <c r="Z155" i="47"/>
  <c r="Q155" i="47"/>
  <c r="I155" i="47"/>
  <c r="AE154" i="47"/>
  <c r="W154" i="47"/>
  <c r="O154" i="47"/>
  <c r="G154" i="47"/>
  <c r="AC153" i="47"/>
  <c r="U153" i="47"/>
  <c r="M153" i="47"/>
  <c r="AI152" i="47"/>
  <c r="AA152" i="47"/>
  <c r="S152" i="47"/>
  <c r="K152" i="47"/>
  <c r="AG151" i="47"/>
  <c r="Y151" i="47"/>
  <c r="Q151" i="47"/>
  <c r="I151" i="47"/>
  <c r="AE150" i="47"/>
  <c r="W150" i="47"/>
  <c r="O150" i="47"/>
  <c r="G150" i="47"/>
  <c r="AC149" i="47"/>
  <c r="U149" i="47"/>
  <c r="M149" i="47"/>
  <c r="AI148" i="47"/>
  <c r="AA148" i="47"/>
  <c r="S148" i="47"/>
  <c r="K148" i="47"/>
  <c r="AG147" i="47"/>
  <c r="Y147" i="47"/>
  <c r="Q147" i="47"/>
  <c r="I147" i="47"/>
  <c r="AE146" i="47"/>
  <c r="W146" i="47"/>
  <c r="O146" i="47"/>
  <c r="G146" i="47"/>
  <c r="AC145" i="47"/>
  <c r="U145" i="47"/>
  <c r="M145" i="47"/>
  <c r="AI144" i="47"/>
  <c r="AA144" i="47"/>
  <c r="S144" i="47"/>
  <c r="K144" i="47"/>
  <c r="AG143" i="47"/>
  <c r="Y143" i="47"/>
  <c r="Q143" i="47"/>
  <c r="I143" i="47"/>
  <c r="AE142" i="47"/>
  <c r="W142" i="47"/>
  <c r="O142" i="47"/>
  <c r="G142" i="47"/>
  <c r="AC141" i="47"/>
  <c r="U141" i="47"/>
  <c r="M141" i="47"/>
  <c r="AI140" i="47"/>
  <c r="AA140" i="47"/>
  <c r="S140" i="47"/>
  <c r="K140" i="47"/>
  <c r="AG139" i="47"/>
  <c r="Y139" i="47"/>
  <c r="Q139" i="47"/>
  <c r="I139" i="47"/>
  <c r="AE138" i="47"/>
  <c r="W138" i="47"/>
  <c r="O138" i="47"/>
  <c r="G138" i="47"/>
  <c r="AC137" i="47"/>
  <c r="U137" i="47"/>
  <c r="M137" i="47"/>
  <c r="AI136" i="47"/>
  <c r="AA136" i="47"/>
  <c r="S136" i="47"/>
  <c r="K136" i="47"/>
  <c r="AG135" i="47"/>
  <c r="Y135" i="47"/>
  <c r="Q135" i="47"/>
  <c r="I135" i="47"/>
  <c r="AE134" i="47"/>
  <c r="W134" i="47"/>
  <c r="O134" i="47"/>
  <c r="G134" i="47"/>
  <c r="AC133" i="47"/>
  <c r="U133" i="47"/>
  <c r="M133" i="47"/>
  <c r="AI132" i="47"/>
  <c r="AA132" i="47"/>
  <c r="S132" i="47"/>
  <c r="K132" i="47"/>
  <c r="AG131" i="47"/>
  <c r="Y131" i="47"/>
  <c r="Q131" i="47"/>
  <c r="I131" i="47"/>
  <c r="AE130" i="47"/>
  <c r="Z204" i="47"/>
  <c r="H199" i="47"/>
  <c r="AD195" i="47"/>
  <c r="S193" i="47"/>
  <c r="M191" i="47"/>
  <c r="AF188" i="47"/>
  <c r="X186" i="47"/>
  <c r="AD184" i="47"/>
  <c r="G183" i="47"/>
  <c r="Q181" i="47"/>
  <c r="X179" i="47"/>
  <c r="N178" i="47"/>
  <c r="L177" i="47"/>
  <c r="J176" i="47"/>
  <c r="H175" i="47"/>
  <c r="AJ173" i="47"/>
  <c r="AJ172" i="47"/>
  <c r="K172" i="47"/>
  <c r="P171" i="47"/>
  <c r="R170" i="47"/>
  <c r="X169" i="47"/>
  <c r="AH168" i="47"/>
  <c r="L168" i="47"/>
  <c r="X167" i="47"/>
  <c r="AI166" i="47"/>
  <c r="Q166" i="47"/>
  <c r="AE165" i="47"/>
  <c r="O165" i="47"/>
  <c r="AC164" i="47"/>
  <c r="M164" i="47"/>
  <c r="AA163" i="47"/>
  <c r="K163" i="47"/>
  <c r="Y162" i="47"/>
  <c r="I162" i="47"/>
  <c r="W161" i="47"/>
  <c r="G161" i="47"/>
  <c r="U160" i="47"/>
  <c r="AI159" i="47"/>
  <c r="S159" i="47"/>
  <c r="AG158" i="47"/>
  <c r="Q158" i="47"/>
  <c r="AE157" i="47"/>
  <c r="Q157" i="47"/>
  <c r="AJ156" i="47"/>
  <c r="Y156" i="47"/>
  <c r="N156" i="47"/>
  <c r="AH155" i="47"/>
  <c r="Y155" i="47"/>
  <c r="P155" i="47"/>
  <c r="H155" i="47"/>
  <c r="AD154" i="47"/>
  <c r="V154" i="47"/>
  <c r="N154" i="47"/>
  <c r="AJ153" i="47"/>
  <c r="AB153" i="47"/>
  <c r="T153" i="47"/>
  <c r="L153" i="47"/>
  <c r="AH152" i="47"/>
  <c r="Z152" i="47"/>
  <c r="R152" i="47"/>
  <c r="J152" i="47"/>
  <c r="AF151" i="47"/>
  <c r="X151" i="47"/>
  <c r="P151" i="47"/>
  <c r="H151" i="47"/>
  <c r="AD150" i="47"/>
  <c r="V150" i="47"/>
  <c r="N150" i="47"/>
  <c r="AJ149" i="47"/>
  <c r="AB149" i="47"/>
  <c r="T149" i="47"/>
  <c r="L149" i="47"/>
  <c r="AH148" i="47"/>
  <c r="Z148" i="47"/>
  <c r="R148" i="47"/>
  <c r="J148" i="47"/>
  <c r="AF147" i="47"/>
  <c r="X147" i="47"/>
  <c r="P147" i="47"/>
  <c r="H147" i="47"/>
  <c r="AD146" i="47"/>
  <c r="V146" i="47"/>
  <c r="N146" i="47"/>
  <c r="AJ145" i="47"/>
  <c r="AB145" i="47"/>
  <c r="T145" i="47"/>
  <c r="L145" i="47"/>
  <c r="AH144" i="47"/>
  <c r="Z144" i="47"/>
  <c r="R144" i="47"/>
  <c r="J144" i="47"/>
  <c r="AF143" i="47"/>
  <c r="X143" i="47"/>
  <c r="P143" i="47"/>
  <c r="H143" i="47"/>
  <c r="AD142" i="47"/>
  <c r="V142" i="47"/>
  <c r="N142" i="47"/>
  <c r="AJ141" i="47"/>
  <c r="AB141" i="47"/>
  <c r="T141" i="47"/>
  <c r="L141" i="47"/>
  <c r="AH140" i="47"/>
  <c r="Z140" i="47"/>
  <c r="R140" i="47"/>
  <c r="J140" i="47"/>
  <c r="AF139" i="47"/>
  <c r="X139" i="47"/>
  <c r="P139" i="47"/>
  <c r="H139" i="47"/>
  <c r="AD138" i="47"/>
  <c r="V138" i="47"/>
  <c r="N138" i="47"/>
  <c r="AJ137" i="47"/>
  <c r="AB137" i="47"/>
  <c r="T137" i="47"/>
  <c r="L137" i="47"/>
  <c r="AH136" i="47"/>
  <c r="Z136" i="47"/>
  <c r="R136" i="47"/>
  <c r="J136" i="47"/>
  <c r="AF135" i="47"/>
  <c r="X135" i="47"/>
  <c r="P135" i="47"/>
  <c r="H135" i="47"/>
  <c r="AD134" i="47"/>
  <c r="V134" i="47"/>
  <c r="N134" i="47"/>
  <c r="AJ133" i="47"/>
  <c r="AB133" i="47"/>
  <c r="T133" i="47"/>
  <c r="L133" i="47"/>
  <c r="AH132" i="47"/>
  <c r="Z132" i="47"/>
  <c r="R132" i="47"/>
  <c r="J132" i="47"/>
  <c r="AF131" i="47"/>
  <c r="X131" i="47"/>
  <c r="P131" i="47"/>
  <c r="H131" i="47"/>
  <c r="AF203" i="47"/>
  <c r="V198" i="47"/>
  <c r="U195" i="47"/>
  <c r="J193" i="47"/>
  <c r="AF190" i="47"/>
  <c r="Z188" i="47"/>
  <c r="P186" i="47"/>
  <c r="W184" i="47"/>
  <c r="AD182" i="47"/>
  <c r="J181" i="47"/>
  <c r="T179" i="47"/>
  <c r="J178" i="47"/>
  <c r="H177" i="47"/>
  <c r="AJ175" i="47"/>
  <c r="AH174" i="47"/>
  <c r="AF173" i="47"/>
  <c r="AI172" i="47"/>
  <c r="J172" i="47"/>
  <c r="L171" i="47"/>
  <c r="Q170" i="47"/>
  <c r="W169" i="47"/>
  <c r="AE168" i="47"/>
  <c r="K168" i="47"/>
  <c r="V167" i="47"/>
  <c r="AH166" i="47"/>
  <c r="P166" i="47"/>
  <c r="AD165" i="47"/>
  <c r="N165" i="47"/>
  <c r="AB164" i="47"/>
  <c r="L164" i="47"/>
  <c r="Z163" i="47"/>
  <c r="J163" i="47"/>
  <c r="X162" i="47"/>
  <c r="H162" i="47"/>
  <c r="V161" i="47"/>
  <c r="AJ160" i="47"/>
  <c r="T160" i="47"/>
  <c r="AH159" i="47"/>
  <c r="R159" i="47"/>
  <c r="AF158" i="47"/>
  <c r="P158" i="47"/>
  <c r="AD157" i="47"/>
  <c r="P157" i="47"/>
  <c r="AI156" i="47"/>
  <c r="W156" i="47"/>
  <c r="M156" i="47"/>
  <c r="AG155" i="47"/>
  <c r="W155" i="47"/>
  <c r="O155" i="47"/>
  <c r="G155" i="47"/>
  <c r="AC154" i="47"/>
  <c r="U154" i="47"/>
  <c r="M154" i="47"/>
  <c r="AI153" i="47"/>
  <c r="AA153" i="47"/>
  <c r="S153" i="47"/>
  <c r="K153" i="47"/>
  <c r="AG152" i="47"/>
  <c r="Y152" i="47"/>
  <c r="Q152" i="47"/>
  <c r="I152" i="47"/>
  <c r="AE151" i="47"/>
  <c r="W151" i="47"/>
  <c r="O151" i="47"/>
  <c r="G151" i="47"/>
  <c r="AC150" i="47"/>
  <c r="U150" i="47"/>
  <c r="M150" i="47"/>
  <c r="AI149" i="47"/>
  <c r="AA149" i="47"/>
  <c r="S149" i="47"/>
  <c r="K149" i="47"/>
  <c r="AG148" i="47"/>
  <c r="Y148" i="47"/>
  <c r="Q148" i="47"/>
  <c r="I148" i="47"/>
  <c r="AE147" i="47"/>
  <c r="W147" i="47"/>
  <c r="O147" i="47"/>
  <c r="G147" i="47"/>
  <c r="U202" i="47"/>
  <c r="I197" i="47"/>
  <c r="AD194" i="47"/>
  <c r="X192" i="47"/>
  <c r="M190" i="47"/>
  <c r="G188" i="47"/>
  <c r="AC185" i="47"/>
  <c r="H184" i="47"/>
  <c r="R182" i="47"/>
  <c r="Y180" i="47"/>
  <c r="AI178" i="47"/>
  <c r="AE177" i="47"/>
  <c r="AC176" i="47"/>
  <c r="AA175" i="47"/>
  <c r="Y174" i="47"/>
  <c r="W173" i="47"/>
  <c r="AA172" i="47"/>
  <c r="AF171" i="47"/>
  <c r="AH170" i="47"/>
  <c r="I170" i="47"/>
  <c r="P169" i="47"/>
  <c r="Z168" i="47"/>
  <c r="AI167" i="47"/>
  <c r="Q167" i="47"/>
  <c r="AB166" i="47"/>
  <c r="K166" i="47"/>
  <c r="Y165" i="47"/>
  <c r="I165" i="47"/>
  <c r="W164" i="47"/>
  <c r="G164" i="47"/>
  <c r="U163" i="47"/>
  <c r="AI162" i="47"/>
  <c r="S162" i="47"/>
  <c r="AG161" i="47"/>
  <c r="Q161" i="47"/>
  <c r="AE160" i="47"/>
  <c r="O160" i="47"/>
  <c r="AC159" i="47"/>
  <c r="M159" i="47"/>
  <c r="AA158" i="47"/>
  <c r="K158" i="47"/>
  <c r="AA157" i="47"/>
  <c r="O157" i="47"/>
  <c r="AG156" i="47"/>
  <c r="V156" i="47"/>
  <c r="L156" i="47"/>
  <c r="AE155" i="47"/>
  <c r="V155" i="47"/>
  <c r="N155" i="47"/>
  <c r="AJ154" i="47"/>
  <c r="AB154" i="47"/>
  <c r="T154" i="47"/>
  <c r="L154" i="47"/>
  <c r="AH153" i="47"/>
  <c r="Z153" i="47"/>
  <c r="R153" i="47"/>
  <c r="J153" i="47"/>
  <c r="AF152" i="47"/>
  <c r="X152" i="47"/>
  <c r="P152" i="47"/>
  <c r="H152" i="47"/>
  <c r="AD151" i="47"/>
  <c r="V151" i="47"/>
  <c r="N151" i="47"/>
  <c r="AJ150" i="47"/>
  <c r="AB150" i="47"/>
  <c r="T150" i="47"/>
  <c r="L150" i="47"/>
  <c r="AH149" i="47"/>
  <c r="Z149" i="47"/>
  <c r="R149" i="47"/>
  <c r="J149" i="47"/>
  <c r="AF148" i="47"/>
  <c r="X148" i="47"/>
  <c r="P148" i="47"/>
  <c r="H148" i="47"/>
  <c r="AD147" i="47"/>
  <c r="V147" i="47"/>
  <c r="N147" i="47"/>
  <c r="AJ146" i="47"/>
  <c r="AI201" i="47"/>
  <c r="AI196" i="47"/>
  <c r="AC194" i="47"/>
  <c r="R192" i="47"/>
  <c r="L190" i="47"/>
  <c r="AH187" i="47"/>
  <c r="AB185" i="47"/>
  <c r="G184" i="47"/>
  <c r="N182" i="47"/>
  <c r="X180" i="47"/>
  <c r="AH178" i="47"/>
  <c r="AD177" i="47"/>
  <c r="AB176" i="47"/>
  <c r="Z175" i="47"/>
  <c r="X174" i="47"/>
  <c r="V173" i="47"/>
  <c r="Z172" i="47"/>
  <c r="AB171" i="47"/>
  <c r="AG170" i="47"/>
  <c r="H170" i="47"/>
  <c r="O169" i="47"/>
  <c r="W168" i="47"/>
  <c r="AH167" i="47"/>
  <c r="P167" i="47"/>
  <c r="AA166" i="47"/>
  <c r="J166" i="47"/>
  <c r="X165" i="47"/>
  <c r="H165" i="47"/>
  <c r="V164" i="47"/>
  <c r="AJ163" i="47"/>
  <c r="T163" i="47"/>
  <c r="AH162" i="47"/>
  <c r="R162" i="47"/>
  <c r="AF161" i="47"/>
  <c r="P161" i="47"/>
  <c r="AD160" i="47"/>
  <c r="N160" i="47"/>
  <c r="AB159" i="47"/>
  <c r="L159" i="47"/>
  <c r="Z158" i="47"/>
  <c r="J158" i="47"/>
  <c r="Y157" i="47"/>
  <c r="N157" i="47"/>
  <c r="AE156" i="47"/>
  <c r="U156" i="47"/>
  <c r="K156" i="47"/>
  <c r="AD155" i="47"/>
  <c r="U155" i="47"/>
  <c r="M155" i="47"/>
  <c r="AI154" i="47"/>
  <c r="AA154" i="47"/>
  <c r="S154" i="47"/>
  <c r="K154" i="47"/>
  <c r="AG153" i="47"/>
  <c r="Y153" i="47"/>
  <c r="Q153" i="47"/>
  <c r="I153" i="47"/>
  <c r="AE152" i="47"/>
  <c r="W152" i="47"/>
  <c r="O152" i="47"/>
  <c r="G152" i="47"/>
  <c r="AC151" i="47"/>
  <c r="U151" i="47"/>
  <c r="M151" i="47"/>
  <c r="AI150" i="47"/>
  <c r="AA150" i="47"/>
  <c r="S150" i="47"/>
  <c r="K150" i="47"/>
  <c r="AG149" i="47"/>
  <c r="Y149" i="47"/>
  <c r="Q149" i="47"/>
  <c r="I149" i="47"/>
  <c r="AE148" i="47"/>
  <c r="W148" i="47"/>
  <c r="O148" i="47"/>
  <c r="G148" i="47"/>
  <c r="AC147" i="47"/>
  <c r="U147" i="47"/>
  <c r="M147" i="47"/>
  <c r="AI146" i="47"/>
  <c r="AA146" i="47"/>
  <c r="S146" i="47"/>
  <c r="K146" i="47"/>
  <c r="AG145" i="47"/>
  <c r="Y145" i="47"/>
  <c r="AB201" i="47"/>
  <c r="AG196" i="47"/>
  <c r="V194" i="47"/>
  <c r="P192" i="47"/>
  <c r="H190" i="47"/>
  <c r="AC187" i="47"/>
  <c r="Z185" i="47"/>
  <c r="AF183" i="47"/>
  <c r="L182" i="47"/>
  <c r="V180" i="47"/>
  <c r="AE178" i="47"/>
  <c r="AB177" i="47"/>
  <c r="Z176" i="47"/>
  <c r="X175" i="47"/>
  <c r="V174" i="47"/>
  <c r="T173" i="47"/>
  <c r="V172" i="47"/>
  <c r="AA171" i="47"/>
  <c r="AF170" i="47"/>
  <c r="G170" i="47"/>
  <c r="N169" i="47"/>
  <c r="V168" i="47"/>
  <c r="AG167" i="47"/>
  <c r="N167" i="47"/>
  <c r="Z166" i="47"/>
  <c r="I166" i="47"/>
  <c r="W165" i="47"/>
  <c r="G165" i="47"/>
  <c r="U164" i="47"/>
  <c r="AI163" i="47"/>
  <c r="S163" i="47"/>
  <c r="AG162" i="47"/>
  <c r="Q162" i="47"/>
  <c r="AE161" i="47"/>
  <c r="O161" i="47"/>
  <c r="AC160" i="47"/>
  <c r="M160" i="47"/>
  <c r="AA159" i="47"/>
  <c r="K159" i="47"/>
  <c r="Y158" i="47"/>
  <c r="I158" i="47"/>
  <c r="X157" i="47"/>
  <c r="K157" i="47"/>
  <c r="AD156" i="47"/>
  <c r="T156" i="47"/>
  <c r="I156" i="47"/>
  <c r="AC155" i="47"/>
  <c r="T155" i="47"/>
  <c r="L155" i="47"/>
  <c r="AH154" i="47"/>
  <c r="Z154" i="47"/>
  <c r="R154" i="47"/>
  <c r="J154" i="47"/>
  <c r="AF153" i="47"/>
  <c r="X153" i="47"/>
  <c r="P153" i="47"/>
  <c r="H153" i="47"/>
  <c r="AD152" i="47"/>
  <c r="V152" i="47"/>
  <c r="N152" i="47"/>
  <c r="AJ151" i="47"/>
  <c r="AB151" i="47"/>
  <c r="T151" i="47"/>
  <c r="L151" i="47"/>
  <c r="AH150" i="47"/>
  <c r="Z150" i="47"/>
  <c r="R150" i="47"/>
  <c r="J150" i="47"/>
  <c r="AF149" i="47"/>
  <c r="X149" i="47"/>
  <c r="P149" i="47"/>
  <c r="H149" i="47"/>
  <c r="AD148" i="47"/>
  <c r="V148" i="47"/>
  <c r="N148" i="47"/>
  <c r="AJ147" i="47"/>
  <c r="AB147" i="47"/>
  <c r="T147" i="47"/>
  <c r="L147" i="47"/>
  <c r="AH146" i="47"/>
  <c r="Z146" i="47"/>
  <c r="R146" i="47"/>
  <c r="J146" i="47"/>
  <c r="AF145" i="47"/>
  <c r="L201" i="47"/>
  <c r="X196" i="47"/>
  <c r="P194" i="47"/>
  <c r="G192" i="47"/>
  <c r="AC189" i="47"/>
  <c r="R187" i="47"/>
  <c r="R185" i="47"/>
  <c r="AB183" i="47"/>
  <c r="AI181" i="47"/>
  <c r="O180" i="47"/>
  <c r="AA178" i="47"/>
  <c r="X177" i="47"/>
  <c r="V176" i="47"/>
  <c r="T175" i="47"/>
  <c r="R174" i="47"/>
  <c r="P173" i="47"/>
  <c r="U172" i="47"/>
  <c r="Z171" i="47"/>
  <c r="AE170" i="47"/>
  <c r="AJ169" i="47"/>
  <c r="M169" i="47"/>
  <c r="U168" i="47"/>
  <c r="AF167" i="47"/>
  <c r="M167" i="47"/>
  <c r="Y166" i="47"/>
  <c r="H166" i="47"/>
  <c r="V165" i="47"/>
  <c r="AJ164" i="47"/>
  <c r="T164" i="47"/>
  <c r="AH163" i="47"/>
  <c r="R163" i="47"/>
  <c r="AF162" i="47"/>
  <c r="P162" i="47"/>
  <c r="AD161" i="47"/>
  <c r="N161" i="47"/>
  <c r="AB160" i="47"/>
  <c r="L160" i="47"/>
  <c r="Z159" i="47"/>
  <c r="J159" i="47"/>
  <c r="X158" i="47"/>
  <c r="H158" i="47"/>
  <c r="W157" i="47"/>
  <c r="I157" i="47"/>
  <c r="AC156" i="47"/>
  <c r="S156" i="47"/>
  <c r="G156" i="47"/>
  <c r="AB155" i="47"/>
  <c r="S155" i="47"/>
  <c r="K155" i="47"/>
  <c r="AG154" i="47"/>
  <c r="Y154" i="47"/>
  <c r="Q154" i="47"/>
  <c r="I154" i="47"/>
  <c r="AE153" i="47"/>
  <c r="W153" i="47"/>
  <c r="O153" i="47"/>
  <c r="G153" i="47"/>
  <c r="AC152" i="47"/>
  <c r="U152" i="47"/>
  <c r="M152" i="47"/>
  <c r="AI151" i="47"/>
  <c r="AA151" i="47"/>
  <c r="S151" i="47"/>
  <c r="K151" i="47"/>
  <c r="AG150" i="47"/>
  <c r="Y150" i="47"/>
  <c r="Q150" i="47"/>
  <c r="I150" i="47"/>
  <c r="AE149" i="47"/>
  <c r="W149" i="47"/>
  <c r="O149" i="47"/>
  <c r="G149" i="47"/>
  <c r="AC148" i="47"/>
  <c r="U148" i="47"/>
  <c r="M148" i="47"/>
  <c r="AI147" i="47"/>
  <c r="AA147" i="47"/>
  <c r="S147" i="47"/>
  <c r="K147" i="47"/>
  <c r="AG146" i="47"/>
  <c r="Y146" i="47"/>
  <c r="Q146" i="47"/>
  <c r="I146" i="47"/>
  <c r="AE145" i="47"/>
  <c r="W145" i="47"/>
  <c r="O145" i="47"/>
  <c r="G145" i="47"/>
  <c r="AC144" i="47"/>
  <c r="U144" i="47"/>
  <c r="M144" i="47"/>
  <c r="AI143" i="47"/>
  <c r="AA143" i="47"/>
  <c r="S143" i="47"/>
  <c r="K143" i="47"/>
  <c r="AG142" i="47"/>
  <c r="Y142" i="47"/>
  <c r="Q142" i="47"/>
  <c r="I142" i="47"/>
  <c r="AE141" i="47"/>
  <c r="W141" i="47"/>
  <c r="O141" i="47"/>
  <c r="G141" i="47"/>
  <c r="AC140" i="47"/>
  <c r="U140" i="47"/>
  <c r="M140" i="47"/>
  <c r="AI139" i="47"/>
  <c r="AA139" i="47"/>
  <c r="S139" i="47"/>
  <c r="K139" i="47"/>
  <c r="AG138" i="47"/>
  <c r="Y138" i="47"/>
  <c r="Q138" i="47"/>
  <c r="I138" i="47"/>
  <c r="AE137" i="47"/>
  <c r="W137" i="47"/>
  <c r="O137" i="47"/>
  <c r="G137" i="47"/>
  <c r="AC136" i="47"/>
  <c r="U136" i="47"/>
  <c r="M136" i="47"/>
  <c r="AI135" i="47"/>
  <c r="AA135" i="47"/>
  <c r="S135" i="47"/>
  <c r="K135" i="47"/>
  <c r="AG134" i="47"/>
  <c r="Y134" i="47"/>
  <c r="Q134" i="47"/>
  <c r="I134" i="47"/>
  <c r="AE133" i="47"/>
  <c r="W133" i="47"/>
  <c r="O133" i="47"/>
  <c r="G133" i="47"/>
  <c r="AC132" i="47"/>
  <c r="U132" i="47"/>
  <c r="M132" i="47"/>
  <c r="AI131" i="47"/>
  <c r="AA131" i="47"/>
  <c r="S131" i="47"/>
  <c r="K131" i="47"/>
  <c r="AG130" i="47"/>
  <c r="Y130" i="47"/>
  <c r="AC146" i="47"/>
  <c r="AA145" i="47"/>
  <c r="J145" i="47"/>
  <c r="X144" i="47"/>
  <c r="H144" i="47"/>
  <c r="V143" i="47"/>
  <c r="AJ142" i="47"/>
  <c r="T142" i="47"/>
  <c r="AH141" i="47"/>
  <c r="R141" i="47"/>
  <c r="AF140" i="47"/>
  <c r="P140" i="47"/>
  <c r="AD139" i="47"/>
  <c r="N139" i="47"/>
  <c r="AB138" i="47"/>
  <c r="L138" i="47"/>
  <c r="Z137" i="47"/>
  <c r="J137" i="47"/>
  <c r="X136" i="47"/>
  <c r="H136" i="47"/>
  <c r="V135" i="47"/>
  <c r="AJ134" i="47"/>
  <c r="T134" i="47"/>
  <c r="AH133" i="47"/>
  <c r="R133" i="47"/>
  <c r="AF132" i="47"/>
  <c r="P132" i="47"/>
  <c r="AD131" i="47"/>
  <c r="N131" i="47"/>
  <c r="AC130" i="47"/>
  <c r="S130" i="47"/>
  <c r="J130" i="47"/>
  <c r="AE129" i="47"/>
  <c r="U129" i="47"/>
  <c r="L129" i="47"/>
  <c r="AG128" i="47"/>
  <c r="X128" i="47"/>
  <c r="O128" i="47"/>
  <c r="AJ127" i="47"/>
  <c r="AA127" i="47"/>
  <c r="Q127" i="47"/>
  <c r="H127" i="47"/>
  <c r="AC126" i="47"/>
  <c r="T126" i="47"/>
  <c r="K126" i="47"/>
  <c r="AF125" i="47"/>
  <c r="W125" i="47"/>
  <c r="M125" i="47"/>
  <c r="AH124" i="47"/>
  <c r="Y124" i="47"/>
  <c r="P124" i="47"/>
  <c r="G124" i="47"/>
  <c r="AB123" i="47"/>
  <c r="S123" i="47"/>
  <c r="I123" i="47"/>
  <c r="AE122" i="47"/>
  <c r="W122" i="47"/>
  <c r="O122" i="47"/>
  <c r="G122" i="47"/>
  <c r="AC121" i="47"/>
  <c r="U121" i="47"/>
  <c r="M121" i="47"/>
  <c r="AI120" i="47"/>
  <c r="AA120" i="47"/>
  <c r="S120" i="47"/>
  <c r="K120" i="47"/>
  <c r="AG119" i="47"/>
  <c r="Y119" i="47"/>
  <c r="Q119" i="47"/>
  <c r="I119" i="47"/>
  <c r="AE118" i="47"/>
  <c r="W118" i="47"/>
  <c r="O118" i="47"/>
  <c r="G118" i="47"/>
  <c r="AC117" i="47"/>
  <c r="U117" i="47"/>
  <c r="M117" i="47"/>
  <c r="AI116" i="47"/>
  <c r="AA116" i="47"/>
  <c r="S116" i="47"/>
  <c r="K116" i="47"/>
  <c r="AG115" i="47"/>
  <c r="Y115" i="47"/>
  <c r="Q115" i="47"/>
  <c r="I115" i="47"/>
  <c r="AE114" i="47"/>
  <c r="W114" i="47"/>
  <c r="O114" i="47"/>
  <c r="G114" i="47"/>
  <c r="AC113" i="47"/>
  <c r="U113" i="47"/>
  <c r="M113" i="47"/>
  <c r="AI112" i="47"/>
  <c r="AA112" i="47"/>
  <c r="S112" i="47"/>
  <c r="K112" i="47"/>
  <c r="AG111" i="47"/>
  <c r="Y111" i="47"/>
  <c r="Q111" i="47"/>
  <c r="I111" i="47"/>
  <c r="AE110" i="47"/>
  <c r="W110" i="47"/>
  <c r="O110" i="47"/>
  <c r="G110" i="47"/>
  <c r="AC109" i="47"/>
  <c r="U109" i="47"/>
  <c r="M109" i="47"/>
  <c r="AI108" i="47"/>
  <c r="AA108" i="47"/>
  <c r="S108" i="47"/>
  <c r="K108" i="47"/>
  <c r="AG107" i="47"/>
  <c r="Y107" i="47"/>
  <c r="Q107" i="47"/>
  <c r="I107" i="47"/>
  <c r="AE106" i="47"/>
  <c r="W106" i="47"/>
  <c r="O106" i="47"/>
  <c r="G106" i="47"/>
  <c r="AC105" i="47"/>
  <c r="U105" i="47"/>
  <c r="M105" i="47"/>
  <c r="AI104" i="47"/>
  <c r="AA104" i="47"/>
  <c r="S104" i="47"/>
  <c r="K104" i="47"/>
  <c r="AG103" i="47"/>
  <c r="Y103" i="47"/>
  <c r="Q103" i="47"/>
  <c r="I103" i="47"/>
  <c r="AE102" i="47"/>
  <c r="W102" i="47"/>
  <c r="O102" i="47"/>
  <c r="G102" i="47"/>
  <c r="AC101" i="47"/>
  <c r="U101" i="47"/>
  <c r="M101" i="47"/>
  <c r="AI100" i="47"/>
  <c r="AA100" i="47"/>
  <c r="S100" i="47"/>
  <c r="K100" i="47"/>
  <c r="AG99" i="47"/>
  <c r="Y99" i="47"/>
  <c r="Q99" i="47"/>
  <c r="I99" i="47"/>
  <c r="AE98" i="47"/>
  <c r="W98" i="47"/>
  <c r="O98" i="47"/>
  <c r="G98" i="47"/>
  <c r="AC97" i="47"/>
  <c r="U97" i="47"/>
  <c r="M97" i="47"/>
  <c r="AI96" i="47"/>
  <c r="AA96" i="47"/>
  <c r="S96" i="47"/>
  <c r="K96" i="47"/>
  <c r="AG95" i="47"/>
  <c r="Y95" i="47"/>
  <c r="Q95" i="47"/>
  <c r="I95" i="47"/>
  <c r="AE94" i="47"/>
  <c r="W94" i="47"/>
  <c r="O94" i="47"/>
  <c r="G94" i="47"/>
  <c r="AC93" i="47"/>
  <c r="U93" i="47"/>
  <c r="M93" i="47"/>
  <c r="AI92" i="47"/>
  <c r="AA92" i="47"/>
  <c r="S92" i="47"/>
  <c r="K92" i="47"/>
  <c r="AG91" i="47"/>
  <c r="Y91" i="47"/>
  <c r="Q91" i="47"/>
  <c r="I91" i="47"/>
  <c r="AE90" i="47"/>
  <c r="W90" i="47"/>
  <c r="O90" i="47"/>
  <c r="G90" i="47"/>
  <c r="AC89" i="47"/>
  <c r="U89" i="47"/>
  <c r="M89" i="47"/>
  <c r="AI88" i="47"/>
  <c r="AA88" i="47"/>
  <c r="S88" i="47"/>
  <c r="K88" i="47"/>
  <c r="AG87" i="47"/>
  <c r="Y87" i="47"/>
  <c r="Q87" i="47"/>
  <c r="I87" i="47"/>
  <c r="AE86" i="47"/>
  <c r="W86" i="47"/>
  <c r="O86" i="47"/>
  <c r="G86" i="47"/>
  <c r="AC85" i="47"/>
  <c r="U85" i="47"/>
  <c r="M85" i="47"/>
  <c r="AI84" i="47"/>
  <c r="AA84" i="47"/>
  <c r="S84" i="47"/>
  <c r="K84" i="47"/>
  <c r="AG83" i="47"/>
  <c r="Y83" i="47"/>
  <c r="Q83" i="47"/>
  <c r="I83" i="47"/>
  <c r="AE82" i="47"/>
  <c r="W82" i="47"/>
  <c r="O82" i="47"/>
  <c r="G82" i="47"/>
  <c r="AC81" i="47"/>
  <c r="U81" i="47"/>
  <c r="M81" i="47"/>
  <c r="AI80" i="47"/>
  <c r="AA80" i="47"/>
  <c r="S80" i="47"/>
  <c r="K80" i="47"/>
  <c r="AG79" i="47"/>
  <c r="Y79" i="47"/>
  <c r="Q79" i="47"/>
  <c r="I79" i="47"/>
  <c r="AE78" i="47"/>
  <c r="W78" i="47"/>
  <c r="O78" i="47"/>
  <c r="G78" i="47"/>
  <c r="AC77" i="47"/>
  <c r="U77" i="47"/>
  <c r="M77" i="47"/>
  <c r="AI76" i="47"/>
  <c r="AA76" i="47"/>
  <c r="AB146" i="47"/>
  <c r="Z145" i="47"/>
  <c r="I145" i="47"/>
  <c r="W144" i="47"/>
  <c r="G144" i="47"/>
  <c r="U143" i="47"/>
  <c r="AI142" i="47"/>
  <c r="S142" i="47"/>
  <c r="AG141" i="47"/>
  <c r="Q141" i="47"/>
  <c r="AE140" i="47"/>
  <c r="O140" i="47"/>
  <c r="AC139" i="47"/>
  <c r="M139" i="47"/>
  <c r="AA138" i="47"/>
  <c r="K138" i="47"/>
  <c r="Y137" i="47"/>
  <c r="I137" i="47"/>
  <c r="W136" i="47"/>
  <c r="G136" i="47"/>
  <c r="U135" i="47"/>
  <c r="AI134" i="47"/>
  <c r="S134" i="47"/>
  <c r="AG133" i="47"/>
  <c r="Q133" i="47"/>
  <c r="AE132" i="47"/>
  <c r="O132" i="47"/>
  <c r="AC131" i="47"/>
  <c r="M131" i="47"/>
  <c r="AB130" i="47"/>
  <c r="R130" i="47"/>
  <c r="I130" i="47"/>
  <c r="AC129" i="47"/>
  <c r="T129" i="47"/>
  <c r="K129" i="47"/>
  <c r="AF128" i="47"/>
  <c r="W128" i="47"/>
  <c r="N128" i="47"/>
  <c r="AI127" i="47"/>
  <c r="Y127" i="47"/>
  <c r="P127" i="47"/>
  <c r="G127" i="47"/>
  <c r="AB126" i="47"/>
  <c r="S126" i="47"/>
  <c r="J126" i="47"/>
  <c r="AE125" i="47"/>
  <c r="U125" i="47"/>
  <c r="L125" i="47"/>
  <c r="AG124" i="47"/>
  <c r="X124" i="47"/>
  <c r="O124" i="47"/>
  <c r="AJ123" i="47"/>
  <c r="AA123" i="47"/>
  <c r="Q123" i="47"/>
  <c r="H123" i="47"/>
  <c r="AD122" i="47"/>
  <c r="V122" i="47"/>
  <c r="N122" i="47"/>
  <c r="AJ121" i="47"/>
  <c r="AB121" i="47"/>
  <c r="T121" i="47"/>
  <c r="L121" i="47"/>
  <c r="AH120" i="47"/>
  <c r="Z120" i="47"/>
  <c r="R120" i="47"/>
  <c r="J120" i="47"/>
  <c r="AF119" i="47"/>
  <c r="X119" i="47"/>
  <c r="P119" i="47"/>
  <c r="H119" i="47"/>
  <c r="AD118" i="47"/>
  <c r="V118" i="47"/>
  <c r="N118" i="47"/>
  <c r="AJ117" i="47"/>
  <c r="AB117" i="47"/>
  <c r="T117" i="47"/>
  <c r="L117" i="47"/>
  <c r="AH116" i="47"/>
  <c r="Z116" i="47"/>
  <c r="R116" i="47"/>
  <c r="J116" i="47"/>
  <c r="AF115" i="47"/>
  <c r="X115" i="47"/>
  <c r="P115" i="47"/>
  <c r="H115" i="47"/>
  <c r="AD114" i="47"/>
  <c r="V114" i="47"/>
  <c r="N114" i="47"/>
  <c r="AJ113" i="47"/>
  <c r="AB113" i="47"/>
  <c r="T113" i="47"/>
  <c r="L113" i="47"/>
  <c r="AH112" i="47"/>
  <c r="Z112" i="47"/>
  <c r="R112" i="47"/>
  <c r="J112" i="47"/>
  <c r="AF111" i="47"/>
  <c r="X111" i="47"/>
  <c r="P111" i="47"/>
  <c r="H111" i="47"/>
  <c r="AD110" i="47"/>
  <c r="V110" i="47"/>
  <c r="N110" i="47"/>
  <c r="AJ109" i="47"/>
  <c r="AB109" i="47"/>
  <c r="T109" i="47"/>
  <c r="L109" i="47"/>
  <c r="AH108" i="47"/>
  <c r="Z108" i="47"/>
  <c r="R108" i="47"/>
  <c r="J108" i="47"/>
  <c r="AF107" i="47"/>
  <c r="X107" i="47"/>
  <c r="P107" i="47"/>
  <c r="H107" i="47"/>
  <c r="AD106" i="47"/>
  <c r="V106" i="47"/>
  <c r="N106" i="47"/>
  <c r="AJ105" i="47"/>
  <c r="AB105" i="47"/>
  <c r="T105" i="47"/>
  <c r="L105" i="47"/>
  <c r="AH104" i="47"/>
  <c r="Z104" i="47"/>
  <c r="R104" i="47"/>
  <c r="J104" i="47"/>
  <c r="AF103" i="47"/>
  <c r="X103" i="47"/>
  <c r="P103" i="47"/>
  <c r="H103" i="47"/>
  <c r="AD102" i="47"/>
  <c r="V102" i="47"/>
  <c r="N102" i="47"/>
  <c r="AJ101" i="47"/>
  <c r="AB101" i="47"/>
  <c r="T101" i="47"/>
  <c r="L101" i="47"/>
  <c r="AH100" i="47"/>
  <c r="Z100" i="47"/>
  <c r="R100" i="47"/>
  <c r="J100" i="47"/>
  <c r="AF99" i="47"/>
  <c r="X99" i="47"/>
  <c r="P99" i="47"/>
  <c r="H99" i="47"/>
  <c r="AD98" i="47"/>
  <c r="V98" i="47"/>
  <c r="N98" i="47"/>
  <c r="AJ97" i="47"/>
  <c r="AB97" i="47"/>
  <c r="T97" i="47"/>
  <c r="L97" i="47"/>
  <c r="AH96" i="47"/>
  <c r="Z96" i="47"/>
  <c r="R96" i="47"/>
  <c r="J96" i="47"/>
  <c r="AF95" i="47"/>
  <c r="X95" i="47"/>
  <c r="P95" i="47"/>
  <c r="H95" i="47"/>
  <c r="AD94" i="47"/>
  <c r="V94" i="47"/>
  <c r="N94" i="47"/>
  <c r="AJ93" i="47"/>
  <c r="AB93" i="47"/>
  <c r="T93" i="47"/>
  <c r="L93" i="47"/>
  <c r="AH92" i="47"/>
  <c r="Z92" i="47"/>
  <c r="R92" i="47"/>
  <c r="U146" i="47"/>
  <c r="X145" i="47"/>
  <c r="H145" i="47"/>
  <c r="V144" i="47"/>
  <c r="AJ143" i="47"/>
  <c r="T143" i="47"/>
  <c r="AH142" i="47"/>
  <c r="R142" i="47"/>
  <c r="AF141" i="47"/>
  <c r="P141" i="47"/>
  <c r="AD140" i="47"/>
  <c r="N140" i="47"/>
  <c r="AB139" i="47"/>
  <c r="L139" i="47"/>
  <c r="Z138" i="47"/>
  <c r="J138" i="47"/>
  <c r="X137" i="47"/>
  <c r="H137" i="47"/>
  <c r="V136" i="47"/>
  <c r="AJ135" i="47"/>
  <c r="T135" i="47"/>
  <c r="AH134" i="47"/>
  <c r="R134" i="47"/>
  <c r="AF133" i="47"/>
  <c r="P133" i="47"/>
  <c r="AD132" i="47"/>
  <c r="N132" i="47"/>
  <c r="AB131" i="47"/>
  <c r="L131" i="47"/>
  <c r="AA130" i="47"/>
  <c r="Q130" i="47"/>
  <c r="G130" i="47"/>
  <c r="AB129" i="47"/>
  <c r="S129" i="47"/>
  <c r="J129" i="47"/>
  <c r="AE128" i="47"/>
  <c r="V128" i="47"/>
  <c r="M128" i="47"/>
  <c r="AG127" i="47"/>
  <c r="X127" i="47"/>
  <c r="O127" i="47"/>
  <c r="AJ126" i="47"/>
  <c r="AA126" i="47"/>
  <c r="R126" i="47"/>
  <c r="I126" i="47"/>
  <c r="AC125" i="47"/>
  <c r="T125" i="47"/>
  <c r="K125" i="47"/>
  <c r="AF124" i="47"/>
  <c r="W124" i="47"/>
  <c r="N124" i="47"/>
  <c r="AI123" i="47"/>
  <c r="Y123" i="47"/>
  <c r="P123" i="47"/>
  <c r="G123" i="47"/>
  <c r="AC122" i="47"/>
  <c r="U122" i="47"/>
  <c r="M122" i="47"/>
  <c r="AI121" i="47"/>
  <c r="AA121" i="47"/>
  <c r="S121" i="47"/>
  <c r="K121" i="47"/>
  <c r="AG120" i="47"/>
  <c r="Y120" i="47"/>
  <c r="Q120" i="47"/>
  <c r="I120" i="47"/>
  <c r="AE119" i="47"/>
  <c r="W119" i="47"/>
  <c r="O119" i="47"/>
  <c r="G119" i="47"/>
  <c r="AC118" i="47"/>
  <c r="U118" i="47"/>
  <c r="M118" i="47"/>
  <c r="AI117" i="47"/>
  <c r="AA117" i="47"/>
  <c r="S117" i="47"/>
  <c r="K117" i="47"/>
  <c r="AG116" i="47"/>
  <c r="Y116" i="47"/>
  <c r="Q116" i="47"/>
  <c r="I116" i="47"/>
  <c r="AE115" i="47"/>
  <c r="W115" i="47"/>
  <c r="O115" i="47"/>
  <c r="G115" i="47"/>
  <c r="AC114" i="47"/>
  <c r="U114" i="47"/>
  <c r="M114" i="47"/>
  <c r="AI113" i="47"/>
  <c r="AA113" i="47"/>
  <c r="S113" i="47"/>
  <c r="K113" i="47"/>
  <c r="AG112" i="47"/>
  <c r="Y112" i="47"/>
  <c r="Q112" i="47"/>
  <c r="I112" i="47"/>
  <c r="AE111" i="47"/>
  <c r="W111" i="47"/>
  <c r="O111" i="47"/>
  <c r="G111" i="47"/>
  <c r="AC110" i="47"/>
  <c r="U110" i="47"/>
  <c r="M110" i="47"/>
  <c r="AI109" i="47"/>
  <c r="AA109" i="47"/>
  <c r="S109" i="47"/>
  <c r="K109" i="47"/>
  <c r="AG108" i="47"/>
  <c r="Y108" i="47"/>
  <c r="Q108" i="47"/>
  <c r="I108" i="47"/>
  <c r="AE107" i="47"/>
  <c r="W107" i="47"/>
  <c r="O107" i="47"/>
  <c r="G107" i="47"/>
  <c r="AC106" i="47"/>
  <c r="U106" i="47"/>
  <c r="M106" i="47"/>
  <c r="AI105" i="47"/>
  <c r="AA105" i="47"/>
  <c r="S105" i="47"/>
  <c r="K105" i="47"/>
  <c r="AG104" i="47"/>
  <c r="Y104" i="47"/>
  <c r="Q104" i="47"/>
  <c r="I104" i="47"/>
  <c r="AE103" i="47"/>
  <c r="W103" i="47"/>
  <c r="O103" i="47"/>
  <c r="G103" i="47"/>
  <c r="AC102" i="47"/>
  <c r="U102" i="47"/>
  <c r="M102" i="47"/>
  <c r="AI101" i="47"/>
  <c r="AA101" i="47"/>
  <c r="S101" i="47"/>
  <c r="K101" i="47"/>
  <c r="AG100" i="47"/>
  <c r="Y100" i="47"/>
  <c r="Q100" i="47"/>
  <c r="I100" i="47"/>
  <c r="AE99" i="47"/>
  <c r="W99" i="47"/>
  <c r="O99" i="47"/>
  <c r="G99" i="47"/>
  <c r="AC98" i="47"/>
  <c r="U98" i="47"/>
  <c r="M98" i="47"/>
  <c r="AI97" i="47"/>
  <c r="AA97" i="47"/>
  <c r="S97" i="47"/>
  <c r="K97" i="47"/>
  <c r="AG96" i="47"/>
  <c r="Y96" i="47"/>
  <c r="Q96" i="47"/>
  <c r="I96" i="47"/>
  <c r="AE95" i="47"/>
  <c r="W95" i="47"/>
  <c r="O95" i="47"/>
  <c r="G95" i="47"/>
  <c r="AC94" i="47"/>
  <c r="U94" i="47"/>
  <c r="M94" i="47"/>
  <c r="AI93" i="47"/>
  <c r="AA93" i="47"/>
  <c r="S93" i="47"/>
  <c r="K93" i="47"/>
  <c r="AG92" i="47"/>
  <c r="Y92" i="47"/>
  <c r="Q92" i="47"/>
  <c r="AH145" i="47"/>
  <c r="K145" i="47"/>
  <c r="Y144" i="47"/>
  <c r="I144" i="47"/>
  <c r="W143" i="47"/>
  <c r="G143" i="47"/>
  <c r="U142" i="47"/>
  <c r="AI141" i="47"/>
  <c r="S141" i="47"/>
  <c r="AG140" i="47"/>
  <c r="Q140" i="47"/>
  <c r="AE139" i="47"/>
  <c r="O139" i="47"/>
  <c r="AC138" i="47"/>
  <c r="M138" i="47"/>
  <c r="AA137" i="47"/>
  <c r="K137" i="47"/>
  <c r="Y136" i="47"/>
  <c r="I136" i="47"/>
  <c r="W135" i="47"/>
  <c r="G135" i="47"/>
  <c r="U134" i="47"/>
  <c r="AI133" i="47"/>
  <c r="S133" i="47"/>
  <c r="AG132" i="47"/>
  <c r="Q132" i="47"/>
  <c r="AE131" i="47"/>
  <c r="O131" i="47"/>
  <c r="AD130" i="47"/>
  <c r="T130" i="47"/>
  <c r="K130" i="47"/>
  <c r="AF129" i="47"/>
  <c r="W129" i="47"/>
  <c r="M129" i="47"/>
  <c r="AH128" i="47"/>
  <c r="Y128" i="47"/>
  <c r="P128" i="47"/>
  <c r="G128" i="47"/>
  <c r="AB127" i="47"/>
  <c r="S127" i="47"/>
  <c r="I127" i="47"/>
  <c r="AD126" i="47"/>
  <c r="U126" i="47"/>
  <c r="L126" i="47"/>
  <c r="AG125" i="47"/>
  <c r="X125" i="47"/>
  <c r="O125" i="47"/>
  <c r="AI124" i="47"/>
  <c r="Z124" i="47"/>
  <c r="Q124" i="47"/>
  <c r="H124" i="47"/>
  <c r="AC123" i="47"/>
  <c r="T123" i="47"/>
  <c r="K123" i="47"/>
  <c r="AF122" i="47"/>
  <c r="X122" i="47"/>
  <c r="P122" i="47"/>
  <c r="H122" i="47"/>
  <c r="AD121" i="47"/>
  <c r="V121" i="47"/>
  <c r="N121" i="47"/>
  <c r="AJ120" i="47"/>
  <c r="AB120" i="47"/>
  <c r="T120" i="47"/>
  <c r="L120" i="47"/>
  <c r="AH119" i="47"/>
  <c r="Z119" i="47"/>
  <c r="R119" i="47"/>
  <c r="J119" i="47"/>
  <c r="AF118" i="47"/>
  <c r="X118" i="47"/>
  <c r="P118" i="47"/>
  <c r="H118" i="47"/>
  <c r="AD117" i="47"/>
  <c r="V117" i="47"/>
  <c r="N117" i="47"/>
  <c r="AJ116" i="47"/>
  <c r="AB116" i="47"/>
  <c r="T116" i="47"/>
  <c r="L116" i="47"/>
  <c r="AH115" i="47"/>
  <c r="Z115" i="47"/>
  <c r="R115" i="47"/>
  <c r="J115" i="47"/>
  <c r="AF114" i="47"/>
  <c r="X114" i="47"/>
  <c r="P114" i="47"/>
  <c r="H114" i="47"/>
  <c r="AD113" i="47"/>
  <c r="V113" i="47"/>
  <c r="N113" i="47"/>
  <c r="AJ112" i="47"/>
  <c r="AB112" i="47"/>
  <c r="T112" i="47"/>
  <c r="L112" i="47"/>
  <c r="AH111" i="47"/>
  <c r="Z111" i="47"/>
  <c r="R111" i="47"/>
  <c r="J111" i="47"/>
  <c r="AF110" i="47"/>
  <c r="X110" i="47"/>
  <c r="P110" i="47"/>
  <c r="H110" i="47"/>
  <c r="AD109" i="47"/>
  <c r="V109" i="47"/>
  <c r="N109" i="47"/>
  <c r="AJ108" i="47"/>
  <c r="AB108" i="47"/>
  <c r="T108" i="47"/>
  <c r="L108" i="47"/>
  <c r="AH107" i="47"/>
  <c r="Z107" i="47"/>
  <c r="R107" i="47"/>
  <c r="J107" i="47"/>
  <c r="AF106" i="47"/>
  <c r="X106" i="47"/>
  <c r="P106" i="47"/>
  <c r="H106" i="47"/>
  <c r="AD105" i="47"/>
  <c r="V105" i="47"/>
  <c r="N105" i="47"/>
  <c r="AJ104" i="47"/>
  <c r="AB104" i="47"/>
  <c r="T104" i="47"/>
  <c r="L104" i="47"/>
  <c r="AH103" i="47"/>
  <c r="Z103" i="47"/>
  <c r="R103" i="47"/>
  <c r="J103" i="47"/>
  <c r="AF102" i="47"/>
  <c r="X102" i="47"/>
  <c r="P102" i="47"/>
  <c r="H102" i="47"/>
  <c r="AD101" i="47"/>
  <c r="V101" i="47"/>
  <c r="N101" i="47"/>
  <c r="AJ100" i="47"/>
  <c r="AB100" i="47"/>
  <c r="T100" i="47"/>
  <c r="L100" i="47"/>
  <c r="AH99" i="47"/>
  <c r="Z99" i="47"/>
  <c r="R99" i="47"/>
  <c r="J99" i="47"/>
  <c r="AF98" i="47"/>
  <c r="X98" i="47"/>
  <c r="P98" i="47"/>
  <c r="H98" i="47"/>
  <c r="AD97" i="47"/>
  <c r="V97" i="47"/>
  <c r="N97" i="47"/>
  <c r="AJ96" i="47"/>
  <c r="AB96" i="47"/>
  <c r="T96" i="47"/>
  <c r="L96" i="47"/>
  <c r="AH95" i="47"/>
  <c r="Z95" i="47"/>
  <c r="R95" i="47"/>
  <c r="J95" i="47"/>
  <c r="AF94" i="47"/>
  <c r="X94" i="47"/>
  <c r="P94" i="47"/>
  <c r="H94" i="47"/>
  <c r="AD93" i="47"/>
  <c r="V93" i="47"/>
  <c r="N93" i="47"/>
  <c r="AJ92" i="47"/>
  <c r="AB92" i="47"/>
  <c r="T92" i="47"/>
  <c r="T146" i="47"/>
  <c r="AG144" i="47"/>
  <c r="AE143" i="47"/>
  <c r="AC142" i="47"/>
  <c r="AA141" i="47"/>
  <c r="Y140" i="47"/>
  <c r="W139" i="47"/>
  <c r="U138" i="47"/>
  <c r="S137" i="47"/>
  <c r="Q136" i="47"/>
  <c r="O135" i="47"/>
  <c r="M134" i="47"/>
  <c r="K133" i="47"/>
  <c r="I132" i="47"/>
  <c r="G131" i="47"/>
  <c r="O130" i="47"/>
  <c r="AA129" i="47"/>
  <c r="I129" i="47"/>
  <c r="U128" i="47"/>
  <c r="AF127" i="47"/>
  <c r="N127" i="47"/>
  <c r="Z126" i="47"/>
  <c r="G126" i="47"/>
  <c r="S125" i="47"/>
  <c r="AE124" i="47"/>
  <c r="M124" i="47"/>
  <c r="X123" i="47"/>
  <c r="AJ122" i="47"/>
  <c r="T122" i="47"/>
  <c r="AH121" i="47"/>
  <c r="R121" i="47"/>
  <c r="AF120" i="47"/>
  <c r="P120" i="47"/>
  <c r="AD119" i="47"/>
  <c r="N119" i="47"/>
  <c r="AB118" i="47"/>
  <c r="L118" i="47"/>
  <c r="Z117" i="47"/>
  <c r="J117" i="47"/>
  <c r="X116" i="47"/>
  <c r="H116" i="47"/>
  <c r="V115" i="47"/>
  <c r="AJ114" i="47"/>
  <c r="T114" i="47"/>
  <c r="AH113" i="47"/>
  <c r="R113" i="47"/>
  <c r="AF112" i="47"/>
  <c r="P112" i="47"/>
  <c r="AD111" i="47"/>
  <c r="N111" i="47"/>
  <c r="AB110" i="47"/>
  <c r="L110" i="47"/>
  <c r="Z109" i="47"/>
  <c r="J109" i="47"/>
  <c r="X108" i="47"/>
  <c r="H108" i="47"/>
  <c r="V107" i="47"/>
  <c r="AJ106" i="47"/>
  <c r="T106" i="47"/>
  <c r="AH105" i="47"/>
  <c r="R105" i="47"/>
  <c r="AF104" i="47"/>
  <c r="P104" i="47"/>
  <c r="AD103" i="47"/>
  <c r="N103" i="47"/>
  <c r="AB102" i="47"/>
  <c r="L102" i="47"/>
  <c r="Z101" i="47"/>
  <c r="J101" i="47"/>
  <c r="X100" i="47"/>
  <c r="H100" i="47"/>
  <c r="V99" i="47"/>
  <c r="AJ98" i="47"/>
  <c r="T98" i="47"/>
  <c r="AH97" i="47"/>
  <c r="R97" i="47"/>
  <c r="AF96" i="47"/>
  <c r="P96" i="47"/>
  <c r="AD95" i="47"/>
  <c r="N95" i="47"/>
  <c r="AB94" i="47"/>
  <c r="L94" i="47"/>
  <c r="Z93" i="47"/>
  <c r="J93" i="47"/>
  <c r="X92" i="47"/>
  <c r="L92" i="47"/>
  <c r="AF91" i="47"/>
  <c r="W91" i="47"/>
  <c r="N91" i="47"/>
  <c r="AI90" i="47"/>
  <c r="Z90" i="47"/>
  <c r="Q90" i="47"/>
  <c r="H90" i="47"/>
  <c r="AB89" i="47"/>
  <c r="S89" i="47"/>
  <c r="J89" i="47"/>
  <c r="AE88" i="47"/>
  <c r="V88" i="47"/>
  <c r="M88" i="47"/>
  <c r="AH87" i="47"/>
  <c r="X87" i="47"/>
  <c r="O87" i="47"/>
  <c r="AJ86" i="47"/>
  <c r="AA86" i="47"/>
  <c r="R86" i="47"/>
  <c r="I86" i="47"/>
  <c r="AD85" i="47"/>
  <c r="T85" i="47"/>
  <c r="K85" i="47"/>
  <c r="AF84" i="47"/>
  <c r="W84" i="47"/>
  <c r="N84" i="47"/>
  <c r="AI83" i="47"/>
  <c r="Z83" i="47"/>
  <c r="P83" i="47"/>
  <c r="G83" i="47"/>
  <c r="AB82" i="47"/>
  <c r="S82" i="47"/>
  <c r="J82" i="47"/>
  <c r="AE81" i="47"/>
  <c r="V81" i="47"/>
  <c r="L81" i="47"/>
  <c r="AG80" i="47"/>
  <c r="X80" i="47"/>
  <c r="O80" i="47"/>
  <c r="AJ79" i="47"/>
  <c r="AA79" i="47"/>
  <c r="R79" i="47"/>
  <c r="H79" i="47"/>
  <c r="AC78" i="47"/>
  <c r="T78" i="47"/>
  <c r="K78" i="47"/>
  <c r="AF77" i="47"/>
  <c r="W77" i="47"/>
  <c r="N77" i="47"/>
  <c r="AH76" i="47"/>
  <c r="Y76" i="47"/>
  <c r="Q76" i="47"/>
  <c r="I76" i="47"/>
  <c r="AE75" i="47"/>
  <c r="W75" i="47"/>
  <c r="O75" i="47"/>
  <c r="G75" i="47"/>
  <c r="AC74" i="47"/>
  <c r="U74" i="47"/>
  <c r="M74" i="47"/>
  <c r="AI73" i="47"/>
  <c r="AA73" i="47"/>
  <c r="S73" i="47"/>
  <c r="K73" i="47"/>
  <c r="AG72" i="47"/>
  <c r="Y72" i="47"/>
  <c r="Q72" i="47"/>
  <c r="I72" i="47"/>
  <c r="AE71" i="47"/>
  <c r="W71" i="47"/>
  <c r="O71" i="47"/>
  <c r="G71" i="47"/>
  <c r="AC70" i="47"/>
  <c r="U70" i="47"/>
  <c r="M70" i="47"/>
  <c r="AI69" i="47"/>
  <c r="AA69" i="47"/>
  <c r="S69" i="47"/>
  <c r="K69" i="47"/>
  <c r="AG68" i="47"/>
  <c r="Y68" i="47"/>
  <c r="Q68" i="47"/>
  <c r="I68" i="47"/>
  <c r="AE67" i="47"/>
  <c r="W67" i="47"/>
  <c r="O67" i="47"/>
  <c r="G67" i="47"/>
  <c r="AC66" i="47"/>
  <c r="U66" i="47"/>
  <c r="M66" i="47"/>
  <c r="AI65" i="47"/>
  <c r="AA65" i="47"/>
  <c r="S65" i="47"/>
  <c r="K65" i="47"/>
  <c r="AG64" i="47"/>
  <c r="M146" i="47"/>
  <c r="AF144" i="47"/>
  <c r="AD143" i="47"/>
  <c r="AB142" i="47"/>
  <c r="Z141" i="47"/>
  <c r="X140" i="47"/>
  <c r="V139" i="47"/>
  <c r="T138" i="47"/>
  <c r="R137" i="47"/>
  <c r="P136" i="47"/>
  <c r="N135" i="47"/>
  <c r="L134" i="47"/>
  <c r="J133" i="47"/>
  <c r="H132" i="47"/>
  <c r="AJ130" i="47"/>
  <c r="N130" i="47"/>
  <c r="Z129" i="47"/>
  <c r="H129" i="47"/>
  <c r="S128" i="47"/>
  <c r="AE127" i="47"/>
  <c r="M127" i="47"/>
  <c r="Y126" i="47"/>
  <c r="AJ125" i="47"/>
  <c r="R125" i="47"/>
  <c r="AD124" i="47"/>
  <c r="K124" i="47"/>
  <c r="W123" i="47"/>
  <c r="AI122" i="47"/>
  <c r="S122" i="47"/>
  <c r="AG121" i="47"/>
  <c r="Q121" i="47"/>
  <c r="AE120" i="47"/>
  <c r="O120" i="47"/>
  <c r="AC119" i="47"/>
  <c r="M119" i="47"/>
  <c r="AA118" i="47"/>
  <c r="K118" i="47"/>
  <c r="Y117" i="47"/>
  <c r="I117" i="47"/>
  <c r="W116" i="47"/>
  <c r="G116" i="47"/>
  <c r="U115" i="47"/>
  <c r="AI114" i="47"/>
  <c r="S114" i="47"/>
  <c r="AG113" i="47"/>
  <c r="Q113" i="47"/>
  <c r="AE112" i="47"/>
  <c r="O112" i="47"/>
  <c r="AC111" i="47"/>
  <c r="M111" i="47"/>
  <c r="AA110" i="47"/>
  <c r="K110" i="47"/>
  <c r="Y109" i="47"/>
  <c r="I109" i="47"/>
  <c r="W108" i="47"/>
  <c r="G108" i="47"/>
  <c r="U107" i="47"/>
  <c r="AI106" i="47"/>
  <c r="S106" i="47"/>
  <c r="AG105" i="47"/>
  <c r="Q105" i="47"/>
  <c r="AE104" i="47"/>
  <c r="O104" i="47"/>
  <c r="AC103" i="47"/>
  <c r="M103" i="47"/>
  <c r="AA102" i="47"/>
  <c r="K102" i="47"/>
  <c r="Y101" i="47"/>
  <c r="I101" i="47"/>
  <c r="W100" i="47"/>
  <c r="G100" i="47"/>
  <c r="U99" i="47"/>
  <c r="AI98" i="47"/>
  <c r="S98" i="47"/>
  <c r="AG97" i="47"/>
  <c r="Q97" i="47"/>
  <c r="AE96" i="47"/>
  <c r="O96" i="47"/>
  <c r="AC95" i="47"/>
  <c r="M95" i="47"/>
  <c r="AA94" i="47"/>
  <c r="K94" i="47"/>
  <c r="Y93" i="47"/>
  <c r="I93" i="47"/>
  <c r="W92" i="47"/>
  <c r="J92" i="47"/>
  <c r="AE91" i="47"/>
  <c r="V91" i="47"/>
  <c r="M91" i="47"/>
  <c r="AH90" i="47"/>
  <c r="Y90" i="47"/>
  <c r="P90" i="47"/>
  <c r="AJ89" i="47"/>
  <c r="AA89" i="47"/>
  <c r="R89" i="47"/>
  <c r="I89" i="47"/>
  <c r="AD88" i="47"/>
  <c r="U88" i="47"/>
  <c r="L88" i="47"/>
  <c r="AF87" i="47"/>
  <c r="W87" i="47"/>
  <c r="N87" i="47"/>
  <c r="AI86" i="47"/>
  <c r="Z86" i="47"/>
  <c r="Q86" i="47"/>
  <c r="H86" i="47"/>
  <c r="AB85" i="47"/>
  <c r="S85" i="47"/>
  <c r="J85" i="47"/>
  <c r="AE84" i="47"/>
  <c r="V84" i="47"/>
  <c r="M84" i="47"/>
  <c r="AH83" i="47"/>
  <c r="X83" i="47"/>
  <c r="O83" i="47"/>
  <c r="AJ82" i="47"/>
  <c r="AA82" i="47"/>
  <c r="R82" i="47"/>
  <c r="I82" i="47"/>
  <c r="AD81" i="47"/>
  <c r="T81" i="47"/>
  <c r="K81" i="47"/>
  <c r="AF80" i="47"/>
  <c r="W80" i="47"/>
  <c r="N80" i="47"/>
  <c r="AI79" i="47"/>
  <c r="Z79" i="47"/>
  <c r="P79" i="47"/>
  <c r="G79" i="47"/>
  <c r="AB78" i="47"/>
  <c r="S78" i="47"/>
  <c r="J78" i="47"/>
  <c r="AE77" i="47"/>
  <c r="V77" i="47"/>
  <c r="L77" i="47"/>
  <c r="AG76" i="47"/>
  <c r="X76" i="47"/>
  <c r="P76" i="47"/>
  <c r="H76" i="47"/>
  <c r="AD75" i="47"/>
  <c r="V75" i="47"/>
  <c r="N75" i="47"/>
  <c r="AJ74" i="47"/>
  <c r="AB74" i="47"/>
  <c r="T74" i="47"/>
  <c r="L74" i="47"/>
  <c r="AH73" i="47"/>
  <c r="Z73" i="47"/>
  <c r="R73" i="47"/>
  <c r="J73" i="47"/>
  <c r="AF72" i="47"/>
  <c r="X72" i="47"/>
  <c r="P72" i="47"/>
  <c r="H72" i="47"/>
  <c r="AD71" i="47"/>
  <c r="V71" i="47"/>
  <c r="N71" i="47"/>
  <c r="AJ70" i="47"/>
  <c r="AB70" i="47"/>
  <c r="T70" i="47"/>
  <c r="L70" i="47"/>
  <c r="AH69" i="47"/>
  <c r="Z69" i="47"/>
  <c r="R69" i="47"/>
  <c r="J69" i="47"/>
  <c r="AF68" i="47"/>
  <c r="X68" i="47"/>
  <c r="P68" i="47"/>
  <c r="H68" i="47"/>
  <c r="AD67" i="47"/>
  <c r="V67" i="47"/>
  <c r="N67" i="47"/>
  <c r="AJ66" i="47"/>
  <c r="AB66" i="47"/>
  <c r="T66" i="47"/>
  <c r="L66" i="47"/>
  <c r="AH65" i="47"/>
  <c r="Z65" i="47"/>
  <c r="L146" i="47"/>
  <c r="AE144" i="47"/>
  <c r="AC143" i="47"/>
  <c r="AA142" i="47"/>
  <c r="Y141" i="47"/>
  <c r="W140" i="47"/>
  <c r="U139" i="47"/>
  <c r="S138" i="47"/>
  <c r="Q137" i="47"/>
  <c r="O136" i="47"/>
  <c r="M135" i="47"/>
  <c r="K134" i="47"/>
  <c r="I133" i="47"/>
  <c r="G132" i="47"/>
  <c r="AI130" i="47"/>
  <c r="M130" i="47"/>
  <c r="Y129" i="47"/>
  <c r="G129" i="47"/>
  <c r="R128" i="47"/>
  <c r="AD127" i="47"/>
  <c r="L127" i="47"/>
  <c r="W126" i="47"/>
  <c r="AI125" i="47"/>
  <c r="Q125" i="47"/>
  <c r="AC124" i="47"/>
  <c r="J124" i="47"/>
  <c r="V123" i="47"/>
  <c r="AH122" i="47"/>
  <c r="R122" i="47"/>
  <c r="AF121" i="47"/>
  <c r="P121" i="47"/>
  <c r="AD120" i="47"/>
  <c r="N120" i="47"/>
  <c r="AB119" i="47"/>
  <c r="L119" i="47"/>
  <c r="Z118" i="47"/>
  <c r="J118" i="47"/>
  <c r="X117" i="47"/>
  <c r="H117" i="47"/>
  <c r="V116" i="47"/>
  <c r="AJ115" i="47"/>
  <c r="T115" i="47"/>
  <c r="AH114" i="47"/>
  <c r="R114" i="47"/>
  <c r="AF113" i="47"/>
  <c r="P113" i="47"/>
  <c r="AD112" i="47"/>
  <c r="N112" i="47"/>
  <c r="AB111" i="47"/>
  <c r="L111" i="47"/>
  <c r="Z110" i="47"/>
  <c r="J110" i="47"/>
  <c r="X109" i="47"/>
  <c r="H109" i="47"/>
  <c r="V108" i="47"/>
  <c r="AJ107" i="47"/>
  <c r="T107" i="47"/>
  <c r="AH106" i="47"/>
  <c r="R106" i="47"/>
  <c r="AF105" i="47"/>
  <c r="P105" i="47"/>
  <c r="AD104" i="47"/>
  <c r="N104" i="47"/>
  <c r="AB103" i="47"/>
  <c r="L103" i="47"/>
  <c r="Z102" i="47"/>
  <c r="J102" i="47"/>
  <c r="X101" i="47"/>
  <c r="H101" i="47"/>
  <c r="V100" i="47"/>
  <c r="AJ99" i="47"/>
  <c r="T99" i="47"/>
  <c r="AH98" i="47"/>
  <c r="R98" i="47"/>
  <c r="AF97" i="47"/>
  <c r="P97" i="47"/>
  <c r="AD96" i="47"/>
  <c r="N96" i="47"/>
  <c r="AB95" i="47"/>
  <c r="L95" i="47"/>
  <c r="Z94" i="47"/>
  <c r="J94" i="47"/>
  <c r="X93" i="47"/>
  <c r="H93" i="47"/>
  <c r="V92" i="47"/>
  <c r="I92" i="47"/>
  <c r="AD91" i="47"/>
  <c r="U91" i="47"/>
  <c r="L91" i="47"/>
  <c r="AG90" i="47"/>
  <c r="X90" i="47"/>
  <c r="N90" i="47"/>
  <c r="AI89" i="47"/>
  <c r="Z89" i="47"/>
  <c r="Q89" i="47"/>
  <c r="H89" i="47"/>
  <c r="AC88" i="47"/>
  <c r="T88" i="47"/>
  <c r="J88" i="47"/>
  <c r="AE87" i="47"/>
  <c r="V87" i="47"/>
  <c r="M87" i="47"/>
  <c r="AH86" i="47"/>
  <c r="Y86" i="47"/>
  <c r="P86" i="47"/>
  <c r="AJ85" i="47"/>
  <c r="AA85" i="47"/>
  <c r="R85" i="47"/>
  <c r="I85" i="47"/>
  <c r="AD84" i="47"/>
  <c r="U84" i="47"/>
  <c r="L84" i="47"/>
  <c r="AF83" i="47"/>
  <c r="W83" i="47"/>
  <c r="N83" i="47"/>
  <c r="AI82" i="47"/>
  <c r="Z82" i="47"/>
  <c r="Q82" i="47"/>
  <c r="H82" i="47"/>
  <c r="AB81" i="47"/>
  <c r="S81" i="47"/>
  <c r="J81" i="47"/>
  <c r="AE80" i="47"/>
  <c r="V80" i="47"/>
  <c r="M80" i="47"/>
  <c r="AH79" i="47"/>
  <c r="X79" i="47"/>
  <c r="O79" i="47"/>
  <c r="AJ78" i="47"/>
  <c r="AA78" i="47"/>
  <c r="R78" i="47"/>
  <c r="I78" i="47"/>
  <c r="AD77" i="47"/>
  <c r="T77" i="47"/>
  <c r="K77" i="47"/>
  <c r="AF76" i="47"/>
  <c r="W76" i="47"/>
  <c r="O76" i="47"/>
  <c r="G76" i="47"/>
  <c r="AC75" i="47"/>
  <c r="U75" i="47"/>
  <c r="M75" i="47"/>
  <c r="AI74" i="47"/>
  <c r="AA74" i="47"/>
  <c r="S74" i="47"/>
  <c r="K74" i="47"/>
  <c r="AG73" i="47"/>
  <c r="Y73" i="47"/>
  <c r="Q73" i="47"/>
  <c r="I73" i="47"/>
  <c r="AE72" i="47"/>
  <c r="W72" i="47"/>
  <c r="O72" i="47"/>
  <c r="G72" i="47"/>
  <c r="AC71" i="47"/>
  <c r="U71" i="47"/>
  <c r="M71" i="47"/>
  <c r="AI70" i="47"/>
  <c r="AA70" i="47"/>
  <c r="S70" i="47"/>
  <c r="K70" i="47"/>
  <c r="AG69" i="47"/>
  <c r="Y69" i="47"/>
  <c r="Q69" i="47"/>
  <c r="I69" i="47"/>
  <c r="AE68" i="47"/>
  <c r="W68" i="47"/>
  <c r="O68" i="47"/>
  <c r="G68" i="47"/>
  <c r="AC67" i="47"/>
  <c r="U67" i="47"/>
  <c r="M67" i="47"/>
  <c r="AI66" i="47"/>
  <c r="AA66" i="47"/>
  <c r="P145" i="47"/>
  <c r="N144" i="47"/>
  <c r="L143" i="47"/>
  <c r="J142" i="47"/>
  <c r="H141" i="47"/>
  <c r="AJ139" i="47"/>
  <c r="AH138" i="47"/>
  <c r="AF137" i="47"/>
  <c r="AD136" i="47"/>
  <c r="AB135" i="47"/>
  <c r="Z134" i="47"/>
  <c r="X133" i="47"/>
  <c r="V132" i="47"/>
  <c r="T131" i="47"/>
  <c r="U130" i="47"/>
  <c r="AG129" i="47"/>
  <c r="O129" i="47"/>
  <c r="Z128" i="47"/>
  <c r="H128" i="47"/>
  <c r="T127" i="47"/>
  <c r="AE126" i="47"/>
  <c r="M126" i="47"/>
  <c r="Y125" i="47"/>
  <c r="G125" i="47"/>
  <c r="R124" i="47"/>
  <c r="AD123" i="47"/>
  <c r="L123" i="47"/>
  <c r="Y122" i="47"/>
  <c r="I122" i="47"/>
  <c r="W121" i="47"/>
  <c r="G121" i="47"/>
  <c r="U120" i="47"/>
  <c r="AI119" i="47"/>
  <c r="S119" i="47"/>
  <c r="AG118" i="47"/>
  <c r="Q118" i="47"/>
  <c r="AE117" i="47"/>
  <c r="O117" i="47"/>
  <c r="AC116" i="47"/>
  <c r="M116" i="47"/>
  <c r="AA115" i="47"/>
  <c r="K115" i="47"/>
  <c r="Y114" i="47"/>
  <c r="I114" i="47"/>
  <c r="W113" i="47"/>
  <c r="G113" i="47"/>
  <c r="U112" i="47"/>
  <c r="AI111" i="47"/>
  <c r="S111" i="47"/>
  <c r="AG110" i="47"/>
  <c r="Q110" i="47"/>
  <c r="AE109" i="47"/>
  <c r="O109" i="47"/>
  <c r="AC108" i="47"/>
  <c r="M108" i="47"/>
  <c r="AA107" i="47"/>
  <c r="K107" i="47"/>
  <c r="Y106" i="47"/>
  <c r="I106" i="47"/>
  <c r="W105" i="47"/>
  <c r="G105" i="47"/>
  <c r="U104" i="47"/>
  <c r="AI103" i="47"/>
  <c r="S103" i="47"/>
  <c r="AG102" i="47"/>
  <c r="Q102" i="47"/>
  <c r="AE101" i="47"/>
  <c r="O101" i="47"/>
  <c r="AC100" i="47"/>
  <c r="M100" i="47"/>
  <c r="AA99" i="47"/>
  <c r="K99" i="47"/>
  <c r="Y98" i="47"/>
  <c r="I98" i="47"/>
  <c r="W97" i="47"/>
  <c r="G97" i="47"/>
  <c r="U96" i="47"/>
  <c r="AI95" i="47"/>
  <c r="S95" i="47"/>
  <c r="AG94" i="47"/>
  <c r="Q94" i="47"/>
  <c r="AE93" i="47"/>
  <c r="O93" i="47"/>
  <c r="AC92" i="47"/>
  <c r="M92" i="47"/>
  <c r="AH91" i="47"/>
  <c r="X91" i="47"/>
  <c r="O91" i="47"/>
  <c r="AJ90" i="47"/>
  <c r="AA90" i="47"/>
  <c r="R90" i="47"/>
  <c r="I90" i="47"/>
  <c r="AD89" i="47"/>
  <c r="T89" i="47"/>
  <c r="K89" i="47"/>
  <c r="AF88" i="47"/>
  <c r="W88" i="47"/>
  <c r="N88" i="47"/>
  <c r="AI87" i="47"/>
  <c r="Z87" i="47"/>
  <c r="P87" i="47"/>
  <c r="G87" i="47"/>
  <c r="AB86" i="47"/>
  <c r="S86" i="47"/>
  <c r="J86" i="47"/>
  <c r="AE85" i="47"/>
  <c r="V85" i="47"/>
  <c r="L85" i="47"/>
  <c r="AG84" i="47"/>
  <c r="X84" i="47"/>
  <c r="O84" i="47"/>
  <c r="AJ83" i="47"/>
  <c r="AA83" i="47"/>
  <c r="R83" i="47"/>
  <c r="H83" i="47"/>
  <c r="AC82" i="47"/>
  <c r="T82" i="47"/>
  <c r="K82" i="47"/>
  <c r="AF81" i="47"/>
  <c r="W81" i="47"/>
  <c r="N81" i="47"/>
  <c r="AH80" i="47"/>
  <c r="Y80" i="47"/>
  <c r="P80" i="47"/>
  <c r="G80" i="47"/>
  <c r="AB79" i="47"/>
  <c r="S79" i="47"/>
  <c r="J79" i="47"/>
  <c r="AD78" i="47"/>
  <c r="U78" i="47"/>
  <c r="L78" i="47"/>
  <c r="AG77" i="47"/>
  <c r="X77" i="47"/>
  <c r="O77" i="47"/>
  <c r="AJ76" i="47"/>
  <c r="Z76" i="47"/>
  <c r="R76" i="47"/>
  <c r="J76" i="47"/>
  <c r="AF75" i="47"/>
  <c r="X75" i="47"/>
  <c r="P75" i="47"/>
  <c r="H75" i="47"/>
  <c r="AD74" i="47"/>
  <c r="V74" i="47"/>
  <c r="N74" i="47"/>
  <c r="AJ73" i="47"/>
  <c r="AB73" i="47"/>
  <c r="T73" i="47"/>
  <c r="L73" i="47"/>
  <c r="AH72" i="47"/>
  <c r="Z72" i="47"/>
  <c r="R72" i="47"/>
  <c r="J72" i="47"/>
  <c r="AF71" i="47"/>
  <c r="X71" i="47"/>
  <c r="P71" i="47"/>
  <c r="H71" i="47"/>
  <c r="AD70" i="47"/>
  <c r="V70" i="47"/>
  <c r="N70" i="47"/>
  <c r="AJ69" i="47"/>
  <c r="AB69" i="47"/>
  <c r="T69" i="47"/>
  <c r="L69" i="47"/>
  <c r="AH68" i="47"/>
  <c r="Z68" i="47"/>
  <c r="R68" i="47"/>
  <c r="J68" i="47"/>
  <c r="AF67" i="47"/>
  <c r="X67" i="47"/>
  <c r="AI145" i="47"/>
  <c r="AB143" i="47"/>
  <c r="X141" i="47"/>
  <c r="T139" i="47"/>
  <c r="P137" i="47"/>
  <c r="L135" i="47"/>
  <c r="H133" i="47"/>
  <c r="AH130" i="47"/>
  <c r="X129" i="47"/>
  <c r="Q128" i="47"/>
  <c r="K127" i="47"/>
  <c r="AH125" i="47"/>
  <c r="AA124" i="47"/>
  <c r="U123" i="47"/>
  <c r="Q122" i="47"/>
  <c r="O121" i="47"/>
  <c r="M120" i="47"/>
  <c r="K119" i="47"/>
  <c r="I118" i="47"/>
  <c r="G117" i="47"/>
  <c r="AI115" i="47"/>
  <c r="AG114" i="47"/>
  <c r="AE113" i="47"/>
  <c r="AC112" i="47"/>
  <c r="AA111" i="47"/>
  <c r="Y110" i="47"/>
  <c r="W109" i="47"/>
  <c r="U108" i="47"/>
  <c r="S107" i="47"/>
  <c r="Q106" i="47"/>
  <c r="O105" i="47"/>
  <c r="M104" i="47"/>
  <c r="K103" i="47"/>
  <c r="I102" i="47"/>
  <c r="G101" i="47"/>
  <c r="AI99" i="47"/>
  <c r="AG98" i="47"/>
  <c r="AE97" i="47"/>
  <c r="AC96" i="47"/>
  <c r="AA95" i="47"/>
  <c r="Y94" i="47"/>
  <c r="W93" i="47"/>
  <c r="U92" i="47"/>
  <c r="AC91" i="47"/>
  <c r="K91" i="47"/>
  <c r="V90" i="47"/>
  <c r="AH89" i="47"/>
  <c r="P89" i="47"/>
  <c r="AB88" i="47"/>
  <c r="I88" i="47"/>
  <c r="U87" i="47"/>
  <c r="AG86" i="47"/>
  <c r="N86" i="47"/>
  <c r="Z85" i="47"/>
  <c r="H85" i="47"/>
  <c r="T84" i="47"/>
  <c r="AE83" i="47"/>
  <c r="M83" i="47"/>
  <c r="Y82" i="47"/>
  <c r="AJ81" i="47"/>
  <c r="R81" i="47"/>
  <c r="AD80" i="47"/>
  <c r="L80" i="47"/>
  <c r="W79" i="47"/>
  <c r="AI78" i="47"/>
  <c r="Q78" i="47"/>
  <c r="AB77" i="47"/>
  <c r="J77" i="47"/>
  <c r="V76" i="47"/>
  <c r="AJ75" i="47"/>
  <c r="T75" i="47"/>
  <c r="AH74" i="47"/>
  <c r="R74" i="47"/>
  <c r="AF73" i="47"/>
  <c r="P73" i="47"/>
  <c r="AD72" i="47"/>
  <c r="N72" i="47"/>
  <c r="AB71" i="47"/>
  <c r="L71" i="47"/>
  <c r="Z70" i="47"/>
  <c r="J70" i="47"/>
  <c r="X69" i="47"/>
  <c r="H69" i="47"/>
  <c r="V68" i="47"/>
  <c r="AJ67" i="47"/>
  <c r="T67" i="47"/>
  <c r="I67" i="47"/>
  <c r="Y66" i="47"/>
  <c r="O66" i="47"/>
  <c r="AG65" i="47"/>
  <c r="W65" i="47"/>
  <c r="N65" i="47"/>
  <c r="AI64" i="47"/>
  <c r="Z64" i="47"/>
  <c r="R64" i="47"/>
  <c r="J64" i="47"/>
  <c r="AF63" i="47"/>
  <c r="X63" i="47"/>
  <c r="P63" i="47"/>
  <c r="H63" i="47"/>
  <c r="AD62" i="47"/>
  <c r="V62" i="47"/>
  <c r="N62" i="47"/>
  <c r="AJ61" i="47"/>
  <c r="AB61" i="47"/>
  <c r="T61" i="47"/>
  <c r="L61" i="47"/>
  <c r="AH60" i="47"/>
  <c r="Z60" i="47"/>
  <c r="R60" i="47"/>
  <c r="J60" i="47"/>
  <c r="AF59" i="47"/>
  <c r="X59" i="47"/>
  <c r="P59" i="47"/>
  <c r="H59" i="47"/>
  <c r="AD58" i="47"/>
  <c r="V58" i="47"/>
  <c r="N58" i="47"/>
  <c r="AJ57" i="47"/>
  <c r="AB57" i="47"/>
  <c r="T57" i="47"/>
  <c r="L57" i="47"/>
  <c r="AH56" i="47"/>
  <c r="Z56" i="47"/>
  <c r="R56" i="47"/>
  <c r="J56" i="47"/>
  <c r="AF55" i="47"/>
  <c r="X55" i="47"/>
  <c r="P55" i="47"/>
  <c r="H55" i="47"/>
  <c r="AD54" i="47"/>
  <c r="V54" i="47"/>
  <c r="N54" i="47"/>
  <c r="AJ53" i="47"/>
  <c r="AB53" i="47"/>
  <c r="T53" i="47"/>
  <c r="L53" i="47"/>
  <c r="AH52" i="47"/>
  <c r="Z52" i="47"/>
  <c r="R52" i="47"/>
  <c r="J52" i="47"/>
  <c r="AF51" i="47"/>
  <c r="X51" i="47"/>
  <c r="P51" i="47"/>
  <c r="H51" i="47"/>
  <c r="AD50" i="47"/>
  <c r="V50" i="47"/>
  <c r="N50" i="47"/>
  <c r="AJ49" i="47"/>
  <c r="AB49" i="47"/>
  <c r="T49" i="47"/>
  <c r="L49" i="47"/>
  <c r="AH48" i="47"/>
  <c r="Z48" i="47"/>
  <c r="R48" i="47"/>
  <c r="J48" i="47"/>
  <c r="AF47" i="47"/>
  <c r="X47" i="47"/>
  <c r="P47" i="47"/>
  <c r="H47" i="47"/>
  <c r="AD46" i="47"/>
  <c r="V46" i="47"/>
  <c r="N46" i="47"/>
  <c r="AJ45" i="47"/>
  <c r="AB45" i="47"/>
  <c r="T45" i="47"/>
  <c r="L45" i="47"/>
  <c r="AH44" i="47"/>
  <c r="Z44" i="47"/>
  <c r="R44" i="47"/>
  <c r="J44" i="47"/>
  <c r="AF43" i="47"/>
  <c r="X43" i="47"/>
  <c r="P43" i="47"/>
  <c r="H43" i="47"/>
  <c r="AD42" i="47"/>
  <c r="V42" i="47"/>
  <c r="N42" i="47"/>
  <c r="AJ41" i="47"/>
  <c r="AB41" i="47"/>
  <c r="T41" i="47"/>
  <c r="L41" i="47"/>
  <c r="AH40" i="47"/>
  <c r="Z40" i="47"/>
  <c r="R40" i="47"/>
  <c r="J40" i="47"/>
  <c r="AF39" i="47"/>
  <c r="X39" i="47"/>
  <c r="P39" i="47"/>
  <c r="H39" i="47"/>
  <c r="AD38" i="47"/>
  <c r="V38" i="47"/>
  <c r="N38" i="47"/>
  <c r="AJ37" i="47"/>
  <c r="AB37" i="47"/>
  <c r="T37" i="47"/>
  <c r="L37" i="47"/>
  <c r="AH36" i="47"/>
  <c r="Z36" i="47"/>
  <c r="R36" i="47"/>
  <c r="J36" i="47"/>
  <c r="AF35" i="47"/>
  <c r="X35" i="47"/>
  <c r="P35" i="47"/>
  <c r="H35" i="47"/>
  <c r="AD34" i="47"/>
  <c r="V34" i="47"/>
  <c r="N34" i="47"/>
  <c r="AJ33" i="47"/>
  <c r="AB33" i="47"/>
  <c r="T33" i="47"/>
  <c r="L33" i="47"/>
  <c r="AH32" i="47"/>
  <c r="Z32" i="47"/>
  <c r="R32" i="47"/>
  <c r="J32" i="47"/>
  <c r="AF31" i="47"/>
  <c r="X31" i="47"/>
  <c r="P31" i="47"/>
  <c r="H31" i="47"/>
  <c r="AD30" i="47"/>
  <c r="V30" i="47"/>
  <c r="N30" i="47"/>
  <c r="AJ29" i="47"/>
  <c r="AB29" i="47"/>
  <c r="T29" i="47"/>
  <c r="L29" i="47"/>
  <c r="AH28" i="47"/>
  <c r="Z28" i="47"/>
  <c r="R28" i="47"/>
  <c r="J28" i="47"/>
  <c r="AF27" i="47"/>
  <c r="X27" i="47"/>
  <c r="P27" i="47"/>
  <c r="H27" i="47"/>
  <c r="AD26" i="47"/>
  <c r="V26" i="47"/>
  <c r="N26" i="47"/>
  <c r="AJ25" i="47"/>
  <c r="AB25" i="47"/>
  <c r="T25" i="47"/>
  <c r="L25" i="47"/>
  <c r="AH24" i="47"/>
  <c r="Z24" i="47"/>
  <c r="R24" i="47"/>
  <c r="J24" i="47"/>
  <c r="AF23" i="47"/>
  <c r="X23" i="47"/>
  <c r="P23" i="47"/>
  <c r="H23" i="47"/>
  <c r="AD22" i="47"/>
  <c r="V22" i="47"/>
  <c r="N22" i="47"/>
  <c r="AJ21" i="47"/>
  <c r="AB21" i="47"/>
  <c r="T21" i="47"/>
  <c r="L21" i="47"/>
  <c r="AH20" i="47"/>
  <c r="Z20" i="47"/>
  <c r="R20" i="47"/>
  <c r="J20" i="47"/>
  <c r="AF19" i="47"/>
  <c r="X19" i="47"/>
  <c r="P19" i="47"/>
  <c r="H19" i="47"/>
  <c r="AD18" i="47"/>
  <c r="V18" i="47"/>
  <c r="N18" i="47"/>
  <c r="AJ17" i="47"/>
  <c r="AB17" i="47"/>
  <c r="T17" i="47"/>
  <c r="L17" i="47"/>
  <c r="AH16" i="47"/>
  <c r="Z16" i="47"/>
  <c r="R16" i="47"/>
  <c r="J16" i="47"/>
  <c r="AF15" i="47"/>
  <c r="X15" i="47"/>
  <c r="P15" i="47"/>
  <c r="H15" i="47"/>
  <c r="AD14" i="47"/>
  <c r="V14" i="47"/>
  <c r="N14" i="47"/>
  <c r="AJ13" i="47"/>
  <c r="AB13" i="47"/>
  <c r="T13" i="47"/>
  <c r="L13" i="47"/>
  <c r="AH12" i="47"/>
  <c r="Z12" i="47"/>
  <c r="R12" i="47"/>
  <c r="J12" i="47"/>
  <c r="AF11" i="47"/>
  <c r="X11" i="47"/>
  <c r="P11" i="47"/>
  <c r="H11" i="47"/>
  <c r="AD10" i="47"/>
  <c r="V10" i="47"/>
  <c r="N10" i="47"/>
  <c r="AJ9" i="47"/>
  <c r="AB9" i="47"/>
  <c r="T9" i="47"/>
  <c r="L9" i="47"/>
  <c r="AH8" i="47"/>
  <c r="Z8" i="47"/>
  <c r="R8" i="47"/>
  <c r="J8" i="47"/>
  <c r="AF7" i="47"/>
  <c r="X7" i="47"/>
  <c r="P7" i="47"/>
  <c r="H7" i="47"/>
  <c r="AD6" i="47"/>
  <c r="V6" i="47"/>
  <c r="N6" i="47"/>
  <c r="AJ5" i="47"/>
  <c r="AB5" i="47"/>
  <c r="T5" i="47"/>
  <c r="L5" i="47"/>
  <c r="AH4" i="47"/>
  <c r="Z4" i="47"/>
  <c r="R4" i="47"/>
  <c r="J4" i="47"/>
  <c r="S145" i="47"/>
  <c r="O143" i="47"/>
  <c r="K141" i="47"/>
  <c r="G139" i="47"/>
  <c r="AG136" i="47"/>
  <c r="AC134" i="47"/>
  <c r="Y132" i="47"/>
  <c r="Z130" i="47"/>
  <c r="R129" i="47"/>
  <c r="K128" i="47"/>
  <c r="AI126" i="47"/>
  <c r="AB125" i="47"/>
  <c r="V124" i="47"/>
  <c r="O123" i="47"/>
  <c r="L122" i="47"/>
  <c r="J121" i="47"/>
  <c r="H120" i="47"/>
  <c r="AJ118" i="47"/>
  <c r="AH117" i="47"/>
  <c r="AF116" i="47"/>
  <c r="AD115" i="47"/>
  <c r="AB114" i="47"/>
  <c r="Z113" i="47"/>
  <c r="X112" i="47"/>
  <c r="V111" i="47"/>
  <c r="T110" i="47"/>
  <c r="R109" i="47"/>
  <c r="P108" i="47"/>
  <c r="N107" i="47"/>
  <c r="L106" i="47"/>
  <c r="J105" i="47"/>
  <c r="H104" i="47"/>
  <c r="AJ102" i="47"/>
  <c r="AH101" i="47"/>
  <c r="AF100" i="47"/>
  <c r="AD99" i="47"/>
  <c r="AB98" i="47"/>
  <c r="Z97" i="47"/>
  <c r="X96" i="47"/>
  <c r="V95" i="47"/>
  <c r="T94" i="47"/>
  <c r="R93" i="47"/>
  <c r="P92" i="47"/>
  <c r="AB91" i="47"/>
  <c r="J91" i="47"/>
  <c r="U90" i="47"/>
  <c r="AG89" i="47"/>
  <c r="O89" i="47"/>
  <c r="Z88" i="47"/>
  <c r="H88" i="47"/>
  <c r="T87" i="47"/>
  <c r="AF86" i="47"/>
  <c r="M86" i="47"/>
  <c r="Y85" i="47"/>
  <c r="G85" i="47"/>
  <c r="R84" i="47"/>
  <c r="AD83" i="47"/>
  <c r="L83" i="47"/>
  <c r="X82" i="47"/>
  <c r="AI81" i="47"/>
  <c r="Q81" i="47"/>
  <c r="AC80" i="47"/>
  <c r="J80" i="47"/>
  <c r="V79" i="47"/>
  <c r="AH78" i="47"/>
  <c r="P78" i="47"/>
  <c r="AA77" i="47"/>
  <c r="I77" i="47"/>
  <c r="U76" i="47"/>
  <c r="AI75" i="47"/>
  <c r="S75" i="47"/>
  <c r="AG74" i="47"/>
  <c r="Q74" i="47"/>
  <c r="AE73" i="47"/>
  <c r="O73" i="47"/>
  <c r="AC72" i="47"/>
  <c r="M72" i="47"/>
  <c r="AA71" i="47"/>
  <c r="K71" i="47"/>
  <c r="Y70" i="47"/>
  <c r="I70" i="47"/>
  <c r="W69" i="47"/>
  <c r="G69" i="47"/>
  <c r="U68" i="47"/>
  <c r="AI67" i="47"/>
  <c r="S67" i="47"/>
  <c r="H67" i="47"/>
  <c r="X66" i="47"/>
  <c r="N66" i="47"/>
  <c r="AF65" i="47"/>
  <c r="V65" i="47"/>
  <c r="M65" i="47"/>
  <c r="AH64" i="47"/>
  <c r="Y64" i="47"/>
  <c r="Q64" i="47"/>
  <c r="I64" i="47"/>
  <c r="AE63" i="47"/>
  <c r="W63" i="47"/>
  <c r="O63" i="47"/>
  <c r="G63" i="47"/>
  <c r="AC62" i="47"/>
  <c r="U62" i="47"/>
  <c r="M62" i="47"/>
  <c r="AI61" i="47"/>
  <c r="AA61" i="47"/>
  <c r="S61" i="47"/>
  <c r="K61" i="47"/>
  <c r="AG60" i="47"/>
  <c r="Y60" i="47"/>
  <c r="Q60" i="47"/>
  <c r="I60" i="47"/>
  <c r="AE59" i="47"/>
  <c r="W59" i="47"/>
  <c r="O59" i="47"/>
  <c r="G59" i="47"/>
  <c r="AC58" i="47"/>
  <c r="U58" i="47"/>
  <c r="M58" i="47"/>
  <c r="AI57" i="47"/>
  <c r="AA57" i="47"/>
  <c r="S57" i="47"/>
  <c r="K57" i="47"/>
  <c r="AG56" i="47"/>
  <c r="Y56" i="47"/>
  <c r="Q56" i="47"/>
  <c r="I56" i="47"/>
  <c r="AE55" i="47"/>
  <c r="W55" i="47"/>
  <c r="O55" i="47"/>
  <c r="G55" i="47"/>
  <c r="AC54" i="47"/>
  <c r="U54" i="47"/>
  <c r="M54" i="47"/>
  <c r="AI53" i="47"/>
  <c r="AA53" i="47"/>
  <c r="S53" i="47"/>
  <c r="K53" i="47"/>
  <c r="AG52" i="47"/>
  <c r="Y52" i="47"/>
  <c r="Q52" i="47"/>
  <c r="I52" i="47"/>
  <c r="AE51" i="47"/>
  <c r="W51" i="47"/>
  <c r="O51" i="47"/>
  <c r="G51" i="47"/>
  <c r="AC50" i="47"/>
  <c r="U50" i="47"/>
  <c r="M50" i="47"/>
  <c r="AI49" i="47"/>
  <c r="AA49" i="47"/>
  <c r="S49" i="47"/>
  <c r="K49" i="47"/>
  <c r="AG48" i="47"/>
  <c r="Y48" i="47"/>
  <c r="Q48" i="47"/>
  <c r="I48" i="47"/>
  <c r="AE47" i="47"/>
  <c r="W47" i="47"/>
  <c r="O47" i="47"/>
  <c r="G47" i="47"/>
  <c r="AC46" i="47"/>
  <c r="U46" i="47"/>
  <c r="M46" i="47"/>
  <c r="AI45" i="47"/>
  <c r="AA45" i="47"/>
  <c r="S45" i="47"/>
  <c r="K45" i="47"/>
  <c r="AG44" i="47"/>
  <c r="Y44" i="47"/>
  <c r="Q44" i="47"/>
  <c r="I44" i="47"/>
  <c r="AE43" i="47"/>
  <c r="W43" i="47"/>
  <c r="O43" i="47"/>
  <c r="G43" i="47"/>
  <c r="AC42" i="47"/>
  <c r="U42" i="47"/>
  <c r="M42" i="47"/>
  <c r="AI41" i="47"/>
  <c r="AA41" i="47"/>
  <c r="S41" i="47"/>
  <c r="K41" i="47"/>
  <c r="AG40" i="47"/>
  <c r="Y40" i="47"/>
  <c r="Q40" i="47"/>
  <c r="I40" i="47"/>
  <c r="AE39" i="47"/>
  <c r="W39" i="47"/>
  <c r="O39" i="47"/>
  <c r="G39" i="47"/>
  <c r="AC38" i="47"/>
  <c r="U38" i="47"/>
  <c r="M38" i="47"/>
  <c r="AI37" i="47"/>
  <c r="AA37" i="47"/>
  <c r="S37" i="47"/>
  <c r="K37" i="47"/>
  <c r="AG36" i="47"/>
  <c r="Y36" i="47"/>
  <c r="Q36" i="47"/>
  <c r="I36" i="47"/>
  <c r="AE35" i="47"/>
  <c r="W35" i="47"/>
  <c r="O35" i="47"/>
  <c r="G35" i="47"/>
  <c r="AC34" i="47"/>
  <c r="U34" i="47"/>
  <c r="M34" i="47"/>
  <c r="AI33" i="47"/>
  <c r="AA33" i="47"/>
  <c r="S33" i="47"/>
  <c r="K33" i="47"/>
  <c r="AG32" i="47"/>
  <c r="Y32" i="47"/>
  <c r="Q32" i="47"/>
  <c r="I32" i="47"/>
  <c r="AE31" i="47"/>
  <c r="W31" i="47"/>
  <c r="O31" i="47"/>
  <c r="G31" i="47"/>
  <c r="AC30" i="47"/>
  <c r="U30" i="47"/>
  <c r="M30" i="47"/>
  <c r="AI29" i="47"/>
  <c r="AA29" i="47"/>
  <c r="S29" i="47"/>
  <c r="K29" i="47"/>
  <c r="AG28" i="47"/>
  <c r="Y28" i="47"/>
  <c r="Q28" i="47"/>
  <c r="I28" i="47"/>
  <c r="AE27" i="47"/>
  <c r="W27" i="47"/>
  <c r="O27" i="47"/>
  <c r="G27" i="47"/>
  <c r="AC26" i="47"/>
  <c r="U26" i="47"/>
  <c r="M26" i="47"/>
  <c r="AI25" i="47"/>
  <c r="AA25" i="47"/>
  <c r="S25" i="47"/>
  <c r="K25" i="47"/>
  <c r="AG24" i="47"/>
  <c r="Y24" i="47"/>
  <c r="Q24" i="47"/>
  <c r="I24" i="47"/>
  <c r="AE23" i="47"/>
  <c r="W23" i="47"/>
  <c r="O23" i="47"/>
  <c r="G23" i="47"/>
  <c r="AC22" i="47"/>
  <c r="U22" i="47"/>
  <c r="M22" i="47"/>
  <c r="AI21" i="47"/>
  <c r="AA21" i="47"/>
  <c r="S21" i="47"/>
  <c r="K21" i="47"/>
  <c r="AG20" i="47"/>
  <c r="Y20" i="47"/>
  <c r="Q20" i="47"/>
  <c r="I20" i="47"/>
  <c r="AE19" i="47"/>
  <c r="W19" i="47"/>
  <c r="O19" i="47"/>
  <c r="G19" i="47"/>
  <c r="AC18" i="47"/>
  <c r="U18" i="47"/>
  <c r="M18" i="47"/>
  <c r="AI17" i="47"/>
  <c r="AA17" i="47"/>
  <c r="S17" i="47"/>
  <c r="K17" i="47"/>
  <c r="AG16" i="47"/>
  <c r="Y16" i="47"/>
  <c r="Q16" i="47"/>
  <c r="I16" i="47"/>
  <c r="AE15" i="47"/>
  <c r="W15" i="47"/>
  <c r="O15" i="47"/>
  <c r="G15" i="47"/>
  <c r="AC14" i="47"/>
  <c r="U14" i="47"/>
  <c r="M14" i="47"/>
  <c r="AI13" i="47"/>
  <c r="AA13" i="47"/>
  <c r="S13" i="47"/>
  <c r="K13" i="47"/>
  <c r="AG12" i="47"/>
  <c r="Y12" i="47"/>
  <c r="Q12" i="47"/>
  <c r="I12" i="47"/>
  <c r="AE11" i="47"/>
  <c r="W11" i="47"/>
  <c r="O11" i="47"/>
  <c r="G11" i="47"/>
  <c r="AC10" i="47"/>
  <c r="U10" i="47"/>
  <c r="M10" i="47"/>
  <c r="AI9" i="47"/>
  <c r="AA9" i="47"/>
  <c r="S9" i="47"/>
  <c r="K9" i="47"/>
  <c r="AG8" i="47"/>
  <c r="Y8" i="47"/>
  <c r="Q8" i="47"/>
  <c r="I8" i="47"/>
  <c r="AE7" i="47"/>
  <c r="W7" i="47"/>
  <c r="O7" i="47"/>
  <c r="G7" i="47"/>
  <c r="AC6" i="47"/>
  <c r="U6" i="47"/>
  <c r="M6" i="47"/>
  <c r="AI5" i="47"/>
  <c r="AA5" i="47"/>
  <c r="S5" i="47"/>
  <c r="K5" i="47"/>
  <c r="AG4" i="47"/>
  <c r="Y4" i="47"/>
  <c r="Q4" i="47"/>
  <c r="I4" i="47"/>
  <c r="R145" i="47"/>
  <c r="N143" i="47"/>
  <c r="J141" i="47"/>
  <c r="AJ138" i="47"/>
  <c r="AF136" i="47"/>
  <c r="AB134" i="47"/>
  <c r="X132" i="47"/>
  <c r="W130" i="47"/>
  <c r="Q129" i="47"/>
  <c r="J128" i="47"/>
  <c r="AH126" i="47"/>
  <c r="AA125" i="47"/>
  <c r="U124" i="47"/>
  <c r="N123" i="47"/>
  <c r="K122" i="47"/>
  <c r="I121" i="47"/>
  <c r="G120" i="47"/>
  <c r="AI118" i="47"/>
  <c r="AG117" i="47"/>
  <c r="AE116" i="47"/>
  <c r="AC115" i="47"/>
  <c r="AA114" i="47"/>
  <c r="Y113" i="47"/>
  <c r="W112" i="47"/>
  <c r="U111" i="47"/>
  <c r="S110" i="47"/>
  <c r="Q109" i="47"/>
  <c r="O108" i="47"/>
  <c r="M107" i="47"/>
  <c r="K106" i="47"/>
  <c r="I105" i="47"/>
  <c r="G104" i="47"/>
  <c r="AI102" i="47"/>
  <c r="AG101" i="47"/>
  <c r="AE100" i="47"/>
  <c r="AC99" i="47"/>
  <c r="AA98" i="47"/>
  <c r="Y97" i="47"/>
  <c r="W96" i="47"/>
  <c r="U95" i="47"/>
  <c r="S94" i="47"/>
  <c r="Q93" i="47"/>
  <c r="O92" i="47"/>
  <c r="AA91" i="47"/>
  <c r="H91" i="47"/>
  <c r="T90" i="47"/>
  <c r="AF89" i="47"/>
  <c r="N89" i="47"/>
  <c r="Y88" i="47"/>
  <c r="G88" i="47"/>
  <c r="S87" i="47"/>
  <c r="AD86" i="47"/>
  <c r="L86" i="47"/>
  <c r="X85" i="47"/>
  <c r="AJ84" i="47"/>
  <c r="Q84" i="47"/>
  <c r="AC83" i="47"/>
  <c r="K83" i="47"/>
  <c r="V82" i="47"/>
  <c r="AH81" i="47"/>
  <c r="P81" i="47"/>
  <c r="AB80" i="47"/>
  <c r="I80" i="47"/>
  <c r="U79" i="47"/>
  <c r="AG78" i="47"/>
  <c r="N78" i="47"/>
  <c r="Z77" i="47"/>
  <c r="H77" i="47"/>
  <c r="T76" i="47"/>
  <c r="AH75" i="47"/>
  <c r="R75" i="47"/>
  <c r="AF74" i="47"/>
  <c r="P74" i="47"/>
  <c r="AD73" i="47"/>
  <c r="N73" i="47"/>
  <c r="AB72" i="47"/>
  <c r="L72" i="47"/>
  <c r="Z71" i="47"/>
  <c r="J71" i="47"/>
  <c r="X70" i="47"/>
  <c r="H70" i="47"/>
  <c r="V69" i="47"/>
  <c r="AJ68" i="47"/>
  <c r="T68" i="47"/>
  <c r="AH67" i="47"/>
  <c r="R67" i="47"/>
  <c r="AH66" i="47"/>
  <c r="W66" i="47"/>
  <c r="K66" i="47"/>
  <c r="AE65" i="47"/>
  <c r="U65" i="47"/>
  <c r="L65" i="47"/>
  <c r="AF64" i="47"/>
  <c r="X64" i="47"/>
  <c r="P64" i="47"/>
  <c r="H64" i="47"/>
  <c r="AD63" i="47"/>
  <c r="V63" i="47"/>
  <c r="N63" i="47"/>
  <c r="AJ62" i="47"/>
  <c r="AB62" i="47"/>
  <c r="T62" i="47"/>
  <c r="L62" i="47"/>
  <c r="AH61" i="47"/>
  <c r="Z61" i="47"/>
  <c r="R61" i="47"/>
  <c r="J61" i="47"/>
  <c r="AF60" i="47"/>
  <c r="X60" i="47"/>
  <c r="P60" i="47"/>
  <c r="H60" i="47"/>
  <c r="AD59" i="47"/>
  <c r="V59" i="47"/>
  <c r="N59" i="47"/>
  <c r="AJ58" i="47"/>
  <c r="AB58" i="47"/>
  <c r="T58" i="47"/>
  <c r="L58" i="47"/>
  <c r="AH57" i="47"/>
  <c r="Z57" i="47"/>
  <c r="R57" i="47"/>
  <c r="J57" i="47"/>
  <c r="AF56" i="47"/>
  <c r="X56" i="47"/>
  <c r="P56" i="47"/>
  <c r="H56" i="47"/>
  <c r="AD55" i="47"/>
  <c r="V55" i="47"/>
  <c r="N55" i="47"/>
  <c r="AJ54" i="47"/>
  <c r="AB54" i="47"/>
  <c r="T54" i="47"/>
  <c r="L54" i="47"/>
  <c r="AH53" i="47"/>
  <c r="Z53" i="47"/>
  <c r="R53" i="47"/>
  <c r="J53" i="47"/>
  <c r="AF52" i="47"/>
  <c r="X52" i="47"/>
  <c r="P52" i="47"/>
  <c r="H52" i="47"/>
  <c r="AD51" i="47"/>
  <c r="V51" i="47"/>
  <c r="N51" i="47"/>
  <c r="AJ50" i="47"/>
  <c r="AB50" i="47"/>
  <c r="T50" i="47"/>
  <c r="L50" i="47"/>
  <c r="AH49" i="47"/>
  <c r="Z49" i="47"/>
  <c r="R49" i="47"/>
  <c r="J49" i="47"/>
  <c r="AF48" i="47"/>
  <c r="X48" i="47"/>
  <c r="P48" i="47"/>
  <c r="H48" i="47"/>
  <c r="AD47" i="47"/>
  <c r="V47" i="47"/>
  <c r="N47" i="47"/>
  <c r="AJ46" i="47"/>
  <c r="AB46" i="47"/>
  <c r="T46" i="47"/>
  <c r="L46" i="47"/>
  <c r="AH45" i="47"/>
  <c r="Z45" i="47"/>
  <c r="R45" i="47"/>
  <c r="J45" i="47"/>
  <c r="AF44" i="47"/>
  <c r="X44" i="47"/>
  <c r="P44" i="47"/>
  <c r="H44" i="47"/>
  <c r="AD43" i="47"/>
  <c r="V43" i="47"/>
  <c r="N43" i="47"/>
  <c r="AJ42" i="47"/>
  <c r="AB42" i="47"/>
  <c r="T42" i="47"/>
  <c r="L42" i="47"/>
  <c r="AH41" i="47"/>
  <c r="Z41" i="47"/>
  <c r="R41" i="47"/>
  <c r="J41" i="47"/>
  <c r="AF40" i="47"/>
  <c r="X40" i="47"/>
  <c r="P40" i="47"/>
  <c r="H40" i="47"/>
  <c r="AD39" i="47"/>
  <c r="V39" i="47"/>
  <c r="N39" i="47"/>
  <c r="AJ38" i="47"/>
  <c r="AB38" i="47"/>
  <c r="T38" i="47"/>
  <c r="L38" i="47"/>
  <c r="AH37" i="47"/>
  <c r="Z37" i="47"/>
  <c r="R37" i="47"/>
  <c r="J37" i="47"/>
  <c r="AF36" i="47"/>
  <c r="X36" i="47"/>
  <c r="P36" i="47"/>
  <c r="H36" i="47"/>
  <c r="AD35" i="47"/>
  <c r="V35" i="47"/>
  <c r="N35" i="47"/>
  <c r="AJ34" i="47"/>
  <c r="AB34" i="47"/>
  <c r="T34" i="47"/>
  <c r="L34" i="47"/>
  <c r="AH33" i="47"/>
  <c r="Z33" i="47"/>
  <c r="R33" i="47"/>
  <c r="J33" i="47"/>
  <c r="AF32" i="47"/>
  <c r="X32" i="47"/>
  <c r="P32" i="47"/>
  <c r="H32" i="47"/>
  <c r="AD31" i="47"/>
  <c r="V31" i="47"/>
  <c r="N31" i="47"/>
  <c r="AJ30" i="47"/>
  <c r="AB30" i="47"/>
  <c r="T30" i="47"/>
  <c r="L30" i="47"/>
  <c r="AH29" i="47"/>
  <c r="Z29" i="47"/>
  <c r="R29" i="47"/>
  <c r="J29" i="47"/>
  <c r="AF28" i="47"/>
  <c r="X28" i="47"/>
  <c r="P28" i="47"/>
  <c r="H28" i="47"/>
  <c r="AD27" i="47"/>
  <c r="V27" i="47"/>
  <c r="N27" i="47"/>
  <c r="AJ26" i="47"/>
  <c r="AB26" i="47"/>
  <c r="T26" i="47"/>
  <c r="L26" i="47"/>
  <c r="AH25" i="47"/>
  <c r="Z25" i="47"/>
  <c r="R25" i="47"/>
  <c r="J25" i="47"/>
  <c r="AF24" i="47"/>
  <c r="X24" i="47"/>
  <c r="P24" i="47"/>
  <c r="H24" i="47"/>
  <c r="AD23" i="47"/>
  <c r="V23" i="47"/>
  <c r="N23" i="47"/>
  <c r="AJ22" i="47"/>
  <c r="AB22" i="47"/>
  <c r="T22" i="47"/>
  <c r="L22" i="47"/>
  <c r="AH21" i="47"/>
  <c r="Z21" i="47"/>
  <c r="R21" i="47"/>
  <c r="J21" i="47"/>
  <c r="AF20" i="47"/>
  <c r="X20" i="47"/>
  <c r="P20" i="47"/>
  <c r="H20" i="47"/>
  <c r="AD19" i="47"/>
  <c r="V19" i="47"/>
  <c r="N19" i="47"/>
  <c r="AJ18" i="47"/>
  <c r="AB18" i="47"/>
  <c r="T18" i="47"/>
  <c r="L18" i="47"/>
  <c r="AH17" i="47"/>
  <c r="Z17" i="47"/>
  <c r="R17" i="47"/>
  <c r="J17" i="47"/>
  <c r="AF16" i="47"/>
  <c r="X16" i="47"/>
  <c r="P16" i="47"/>
  <c r="H16" i="47"/>
  <c r="AD15" i="47"/>
  <c r="V15" i="47"/>
  <c r="N15" i="47"/>
  <c r="AJ14" i="47"/>
  <c r="AB14" i="47"/>
  <c r="T14" i="47"/>
  <c r="L14" i="47"/>
  <c r="AH13" i="47"/>
  <c r="Z13" i="47"/>
  <c r="R13" i="47"/>
  <c r="J13" i="47"/>
  <c r="AF12" i="47"/>
  <c r="X12" i="47"/>
  <c r="P12" i="47"/>
  <c r="H12" i="47"/>
  <c r="AD11" i="47"/>
  <c r="V11" i="47"/>
  <c r="N11" i="47"/>
  <c r="AJ10" i="47"/>
  <c r="AB10" i="47"/>
  <c r="T10" i="47"/>
  <c r="L10" i="47"/>
  <c r="AH9" i="47"/>
  <c r="Z9" i="47"/>
  <c r="R9" i="47"/>
  <c r="J9" i="47"/>
  <c r="AF8" i="47"/>
  <c r="X8" i="47"/>
  <c r="P8" i="47"/>
  <c r="H8" i="47"/>
  <c r="B173" i="2" s="1"/>
  <c r="AD7" i="47"/>
  <c r="V7" i="47"/>
  <c r="N7" i="47"/>
  <c r="AJ6" i="47"/>
  <c r="AB6" i="47"/>
  <c r="T6" i="47"/>
  <c r="L6" i="47"/>
  <c r="AH5" i="47"/>
  <c r="Z5" i="47"/>
  <c r="R5" i="47"/>
  <c r="J5" i="47"/>
  <c r="AF4" i="47"/>
  <c r="X4" i="47"/>
  <c r="P4" i="47"/>
  <c r="H4" i="47"/>
  <c r="Q145" i="47"/>
  <c r="M143" i="47"/>
  <c r="I141" i="47"/>
  <c r="AI138" i="47"/>
  <c r="AE136" i="47"/>
  <c r="AA134" i="47"/>
  <c r="W132" i="47"/>
  <c r="V130" i="47"/>
  <c r="P129" i="47"/>
  <c r="I128" i="47"/>
  <c r="AG126" i="47"/>
  <c r="Z125" i="47"/>
  <c r="S124" i="47"/>
  <c r="M123" i="47"/>
  <c r="J122" i="47"/>
  <c r="H121" i="47"/>
  <c r="AJ119" i="47"/>
  <c r="AH118" i="47"/>
  <c r="AF117" i="47"/>
  <c r="AD116" i="47"/>
  <c r="AB115" i="47"/>
  <c r="Z114" i="47"/>
  <c r="X113" i="47"/>
  <c r="V112" i="47"/>
  <c r="T111" i="47"/>
  <c r="R110" i="47"/>
  <c r="P109" i="47"/>
  <c r="N108" i="47"/>
  <c r="L107" i="47"/>
  <c r="J106" i="47"/>
  <c r="H105" i="47"/>
  <c r="AJ103" i="47"/>
  <c r="AH102" i="47"/>
  <c r="AF101" i="47"/>
  <c r="AD100" i="47"/>
  <c r="AB99" i="47"/>
  <c r="Z98" i="47"/>
  <c r="X97" i="47"/>
  <c r="V96" i="47"/>
  <c r="T95" i="47"/>
  <c r="R94" i="47"/>
  <c r="P93" i="47"/>
  <c r="N92" i="47"/>
  <c r="Z91" i="47"/>
  <c r="G91" i="47"/>
  <c r="S90" i="47"/>
  <c r="AE89" i="47"/>
  <c r="L89" i="47"/>
  <c r="X88" i="47"/>
  <c r="AJ87" i="47"/>
  <c r="R87" i="47"/>
  <c r="AC86" i="47"/>
  <c r="K86" i="47"/>
  <c r="W85" i="47"/>
  <c r="AH84" i="47"/>
  <c r="P84" i="47"/>
  <c r="AB83" i="47"/>
  <c r="J83" i="47"/>
  <c r="U82" i="47"/>
  <c r="AG81" i="47"/>
  <c r="O81" i="47"/>
  <c r="Z80" i="47"/>
  <c r="H80" i="47"/>
  <c r="T79" i="47"/>
  <c r="AF78" i="47"/>
  <c r="M78" i="47"/>
  <c r="Y77" i="47"/>
  <c r="G77" i="47"/>
  <c r="S76" i="47"/>
  <c r="AG75" i="47"/>
  <c r="Q75" i="47"/>
  <c r="AE74" i="47"/>
  <c r="O74" i="47"/>
  <c r="AC73" i="47"/>
  <c r="M73" i="47"/>
  <c r="AA72" i="47"/>
  <c r="K72" i="47"/>
  <c r="Y71" i="47"/>
  <c r="I71" i="47"/>
  <c r="W70" i="47"/>
  <c r="G70" i="47"/>
  <c r="U69" i="47"/>
  <c r="AI68" i="47"/>
  <c r="S68" i="47"/>
  <c r="AG67" i="47"/>
  <c r="AD144" i="47"/>
  <c r="Z142" i="47"/>
  <c r="V140" i="47"/>
  <c r="R138" i="47"/>
  <c r="N136" i="47"/>
  <c r="J134" i="47"/>
  <c r="AJ131" i="47"/>
  <c r="L130" i="47"/>
  <c r="AI128" i="47"/>
  <c r="AC127" i="47"/>
  <c r="V126" i="47"/>
  <c r="P125" i="47"/>
  <c r="I124" i="47"/>
  <c r="AG122" i="47"/>
  <c r="AE121" i="47"/>
  <c r="AC120" i="47"/>
  <c r="AA119" i="47"/>
  <c r="Y118" i="47"/>
  <c r="W117" i="47"/>
  <c r="U116" i="47"/>
  <c r="S115" i="47"/>
  <c r="Q114" i="47"/>
  <c r="O113" i="47"/>
  <c r="M112" i="47"/>
  <c r="K111" i="47"/>
  <c r="I110" i="47"/>
  <c r="G109" i="47"/>
  <c r="AI107" i="47"/>
  <c r="AG106" i="47"/>
  <c r="AE105" i="47"/>
  <c r="AC104" i="47"/>
  <c r="AA103" i="47"/>
  <c r="Y102" i="47"/>
  <c r="W101" i="47"/>
  <c r="U100" i="47"/>
  <c r="S99" i="47"/>
  <c r="Q98" i="47"/>
  <c r="O97" i="47"/>
  <c r="M96" i="47"/>
  <c r="K95" i="47"/>
  <c r="I94" i="47"/>
  <c r="G93" i="47"/>
  <c r="H92" i="47"/>
  <c r="T91" i="47"/>
  <c r="AF90" i="47"/>
  <c r="M90" i="47"/>
  <c r="Y89" i="47"/>
  <c r="G89" i="47"/>
  <c r="R88" i="47"/>
  <c r="AD87" i="47"/>
  <c r="L87" i="47"/>
  <c r="X86" i="47"/>
  <c r="AI85" i="47"/>
  <c r="Q85" i="47"/>
  <c r="AC84" i="47"/>
  <c r="J84" i="47"/>
  <c r="V83" i="47"/>
  <c r="AH82" i="47"/>
  <c r="P82" i="47"/>
  <c r="AA81" i="47"/>
  <c r="I81" i="47"/>
  <c r="U80" i="47"/>
  <c r="AF79" i="47"/>
  <c r="N79" i="47"/>
  <c r="Z78" i="47"/>
  <c r="H78" i="47"/>
  <c r="S77" i="47"/>
  <c r="AE76" i="47"/>
  <c r="N76" i="47"/>
  <c r="AB75" i="47"/>
  <c r="L75" i="47"/>
  <c r="Z74" i="47"/>
  <c r="J74" i="47"/>
  <c r="X73" i="47"/>
  <c r="H73" i="47"/>
  <c r="V72" i="47"/>
  <c r="AJ71" i="47"/>
  <c r="T71" i="47"/>
  <c r="AH70" i="47"/>
  <c r="R70" i="47"/>
  <c r="AF69" i="47"/>
  <c r="P69" i="47"/>
  <c r="AD68" i="47"/>
  <c r="N68" i="47"/>
  <c r="AB67" i="47"/>
  <c r="Q144" i="47"/>
  <c r="M142" i="47"/>
  <c r="I140" i="47"/>
  <c r="AI137" i="47"/>
  <c r="AE135" i="47"/>
  <c r="AA133" i="47"/>
  <c r="W131" i="47"/>
  <c r="AJ129" i="47"/>
  <c r="AD128" i="47"/>
  <c r="W127" i="47"/>
  <c r="Q126" i="47"/>
  <c r="J125" i="47"/>
  <c r="AG123" i="47"/>
  <c r="AB122" i="47"/>
  <c r="Z121" i="47"/>
  <c r="X120" i="47"/>
  <c r="V119" i="47"/>
  <c r="T118" i="47"/>
  <c r="R117" i="47"/>
  <c r="P116" i="47"/>
  <c r="N115" i="47"/>
  <c r="L114" i="47"/>
  <c r="J113" i="47"/>
  <c r="H112" i="47"/>
  <c r="AJ110" i="47"/>
  <c r="AH109" i="47"/>
  <c r="AF108" i="47"/>
  <c r="AD107" i="47"/>
  <c r="AB106" i="47"/>
  <c r="Z105" i="47"/>
  <c r="X104" i="47"/>
  <c r="V103" i="47"/>
  <c r="T102" i="47"/>
  <c r="R101" i="47"/>
  <c r="P100" i="47"/>
  <c r="N99" i="47"/>
  <c r="L98" i="47"/>
  <c r="J97" i="47"/>
  <c r="H96" i="47"/>
  <c r="AJ94" i="47"/>
  <c r="AH93" i="47"/>
  <c r="AF92" i="47"/>
  <c r="G92" i="47"/>
  <c r="S91" i="47"/>
  <c r="AD90" i="47"/>
  <c r="L90" i="47"/>
  <c r="X89" i="47"/>
  <c r="AJ88" i="47"/>
  <c r="Q88" i="47"/>
  <c r="AC87" i="47"/>
  <c r="K87" i="47"/>
  <c r="V86" i="47"/>
  <c r="AH85" i="47"/>
  <c r="P85" i="47"/>
  <c r="AB84" i="47"/>
  <c r="I84" i="47"/>
  <c r="U83" i="47"/>
  <c r="AG82" i="47"/>
  <c r="N82" i="47"/>
  <c r="Z81" i="47"/>
  <c r="H81" i="47"/>
  <c r="T80" i="47"/>
  <c r="AE79" i="47"/>
  <c r="M79" i="47"/>
  <c r="Y78" i="47"/>
  <c r="AJ77" i="47"/>
  <c r="R77" i="47"/>
  <c r="AD76" i="47"/>
  <c r="M76" i="47"/>
  <c r="AA75" i="47"/>
  <c r="K75" i="47"/>
  <c r="Y74" i="47"/>
  <c r="I74" i="47"/>
  <c r="W73" i="47"/>
  <c r="G73" i="47"/>
  <c r="U72" i="47"/>
  <c r="AI71" i="47"/>
  <c r="S71" i="47"/>
  <c r="AG70" i="47"/>
  <c r="Q70" i="47"/>
  <c r="AE69" i="47"/>
  <c r="O69" i="47"/>
  <c r="AC68" i="47"/>
  <c r="M68" i="47"/>
  <c r="AA67" i="47"/>
  <c r="P144" i="47"/>
  <c r="L142" i="47"/>
  <c r="H140" i="47"/>
  <c r="AH137" i="47"/>
  <c r="AD135" i="47"/>
  <c r="Z133" i="47"/>
  <c r="V131" i="47"/>
  <c r="AI129" i="47"/>
  <c r="AC128" i="47"/>
  <c r="V127" i="47"/>
  <c r="O126" i="47"/>
  <c r="I125" i="47"/>
  <c r="AF123" i="47"/>
  <c r="AA122" i="47"/>
  <c r="Y121" i="47"/>
  <c r="W120" i="47"/>
  <c r="U119" i="47"/>
  <c r="S118" i="47"/>
  <c r="Q117" i="47"/>
  <c r="O116" i="47"/>
  <c r="M115" i="47"/>
  <c r="K114" i="47"/>
  <c r="I113" i="47"/>
  <c r="G112" i="47"/>
  <c r="AI110" i="47"/>
  <c r="AG109" i="47"/>
  <c r="AE108" i="47"/>
  <c r="AC107" i="47"/>
  <c r="AA106" i="47"/>
  <c r="Y105" i="47"/>
  <c r="W104" i="47"/>
  <c r="U103" i="47"/>
  <c r="S102" i="47"/>
  <c r="Q101" i="47"/>
  <c r="O100" i="47"/>
  <c r="M99" i="47"/>
  <c r="K98" i="47"/>
  <c r="I97" i="47"/>
  <c r="G96" i="47"/>
  <c r="AI94" i="47"/>
  <c r="AG93" i="47"/>
  <c r="AE92" i="47"/>
  <c r="AJ91" i="47"/>
  <c r="R91" i="47"/>
  <c r="AC90" i="47"/>
  <c r="K90" i="47"/>
  <c r="W89" i="47"/>
  <c r="AH88" i="47"/>
  <c r="P88" i="47"/>
  <c r="AB87" i="47"/>
  <c r="J87" i="47"/>
  <c r="U86" i="47"/>
  <c r="AG85" i="47"/>
  <c r="O85" i="47"/>
  <c r="Z84" i="47"/>
  <c r="H84" i="47"/>
  <c r="T83" i="47"/>
  <c r="AF82" i="47"/>
  <c r="M82" i="47"/>
  <c r="Y81" i="47"/>
  <c r="G81" i="47"/>
  <c r="R80" i="47"/>
  <c r="AD79" i="47"/>
  <c r="L79" i="47"/>
  <c r="X78" i="47"/>
  <c r="AI77" i="47"/>
  <c r="Q77" i="47"/>
  <c r="AC76" i="47"/>
  <c r="L76" i="47"/>
  <c r="Z75" i="47"/>
  <c r="J75" i="47"/>
  <c r="X74" i="47"/>
  <c r="H74" i="47"/>
  <c r="V73" i="47"/>
  <c r="AJ72" i="47"/>
  <c r="T72" i="47"/>
  <c r="AH71" i="47"/>
  <c r="R71" i="47"/>
  <c r="AF70" i="47"/>
  <c r="P70" i="47"/>
  <c r="AD69" i="47"/>
  <c r="N69" i="47"/>
  <c r="AB68" i="47"/>
  <c r="L68" i="47"/>
  <c r="Z67" i="47"/>
  <c r="O144" i="47"/>
  <c r="K142" i="47"/>
  <c r="G140" i="47"/>
  <c r="AG137" i="47"/>
  <c r="AC135" i="47"/>
  <c r="Y133" i="47"/>
  <c r="U131" i="47"/>
  <c r="AH129" i="47"/>
  <c r="AA128" i="47"/>
  <c r="U127" i="47"/>
  <c r="N126" i="47"/>
  <c r="H125" i="47"/>
  <c r="AE123" i="47"/>
  <c r="Z122" i="47"/>
  <c r="X121" i="47"/>
  <c r="V120" i="47"/>
  <c r="T119" i="47"/>
  <c r="R118" i="47"/>
  <c r="P117" i="47"/>
  <c r="N116" i="47"/>
  <c r="L115" i="47"/>
  <c r="J114" i="47"/>
  <c r="H113" i="47"/>
  <c r="AJ111" i="47"/>
  <c r="AH110" i="47"/>
  <c r="AF109" i="47"/>
  <c r="AD108" i="47"/>
  <c r="AB107" i="47"/>
  <c r="Z106" i="47"/>
  <c r="X105" i="47"/>
  <c r="V104" i="47"/>
  <c r="T103" i="47"/>
  <c r="R102" i="47"/>
  <c r="P101" i="47"/>
  <c r="N100" i="47"/>
  <c r="L99" i="47"/>
  <c r="J98" i="47"/>
  <c r="H97" i="47"/>
  <c r="AJ95" i="47"/>
  <c r="AH94" i="47"/>
  <c r="AF93" i="47"/>
  <c r="AD92" i="47"/>
  <c r="AI91" i="47"/>
  <c r="P91" i="47"/>
  <c r="AB90" i="47"/>
  <c r="J90" i="47"/>
  <c r="V89" i="47"/>
  <c r="AG88" i="47"/>
  <c r="O88" i="47"/>
  <c r="AA87" i="47"/>
  <c r="H87" i="47"/>
  <c r="T86" i="47"/>
  <c r="AF85" i="47"/>
  <c r="N85" i="47"/>
  <c r="Y84" i="47"/>
  <c r="G84" i="47"/>
  <c r="S83" i="47"/>
  <c r="AD82" i="47"/>
  <c r="L82" i="47"/>
  <c r="X81" i="47"/>
  <c r="AJ80" i="47"/>
  <c r="Q80" i="47"/>
  <c r="AC79" i="47"/>
  <c r="K79" i="47"/>
  <c r="V78" i="47"/>
  <c r="AH77" i="47"/>
  <c r="P77" i="47"/>
  <c r="AB76" i="47"/>
  <c r="K76" i="47"/>
  <c r="Y75" i="47"/>
  <c r="I75" i="47"/>
  <c r="W74" i="47"/>
  <c r="G74" i="47"/>
  <c r="U73" i="47"/>
  <c r="AI72" i="47"/>
  <c r="S72" i="47"/>
  <c r="AG71" i="47"/>
  <c r="Q71" i="47"/>
  <c r="AE70" i="47"/>
  <c r="O70" i="47"/>
  <c r="AC69" i="47"/>
  <c r="M69" i="47"/>
  <c r="AA68" i="47"/>
  <c r="K68" i="47"/>
  <c r="Y67" i="47"/>
  <c r="J67" i="47"/>
  <c r="Z66" i="47"/>
  <c r="P66" i="47"/>
  <c r="AJ65" i="47"/>
  <c r="X65" i="47"/>
  <c r="O65" i="47"/>
  <c r="AJ64" i="47"/>
  <c r="AA64" i="47"/>
  <c r="S64" i="47"/>
  <c r="K64" i="47"/>
  <c r="AG63" i="47"/>
  <c r="Y63" i="47"/>
  <c r="Q63" i="47"/>
  <c r="I63" i="47"/>
  <c r="AE62" i="47"/>
  <c r="W62" i="47"/>
  <c r="O62" i="47"/>
  <c r="G62" i="47"/>
  <c r="AC61" i="47"/>
  <c r="U61" i="47"/>
  <c r="M61" i="47"/>
  <c r="AI60" i="47"/>
  <c r="AA60" i="47"/>
  <c r="S60" i="47"/>
  <c r="K60" i="47"/>
  <c r="AG59" i="47"/>
  <c r="Y59" i="47"/>
  <c r="Q59" i="47"/>
  <c r="I59" i="47"/>
  <c r="AE58" i="47"/>
  <c r="W58" i="47"/>
  <c r="O58" i="47"/>
  <c r="G58" i="47"/>
  <c r="AC57" i="47"/>
  <c r="U57" i="47"/>
  <c r="M57" i="47"/>
  <c r="AI56" i="47"/>
  <c r="AA56" i="47"/>
  <c r="S56" i="47"/>
  <c r="K56" i="47"/>
  <c r="AG55" i="47"/>
  <c r="Y55" i="47"/>
  <c r="Q55" i="47"/>
  <c r="I55" i="47"/>
  <c r="AE54" i="47"/>
  <c r="W54" i="47"/>
  <c r="O54" i="47"/>
  <c r="G54" i="47"/>
  <c r="AC53" i="47"/>
  <c r="U53" i="47"/>
  <c r="M53" i="47"/>
  <c r="AI52" i="47"/>
  <c r="AA52" i="47"/>
  <c r="S52" i="47"/>
  <c r="K52" i="47"/>
  <c r="AG51" i="47"/>
  <c r="Y51" i="47"/>
  <c r="Q51" i="47"/>
  <c r="I51" i="47"/>
  <c r="AE50" i="47"/>
  <c r="W50" i="47"/>
  <c r="O50" i="47"/>
  <c r="G50" i="47"/>
  <c r="AC49" i="47"/>
  <c r="U49" i="47"/>
  <c r="M49" i="47"/>
  <c r="AI48" i="47"/>
  <c r="AA48" i="47"/>
  <c r="S48" i="47"/>
  <c r="K48" i="47"/>
  <c r="AG47" i="47"/>
  <c r="Y47" i="47"/>
  <c r="Q47" i="47"/>
  <c r="I47" i="47"/>
  <c r="AE46" i="47"/>
  <c r="W46" i="47"/>
  <c r="O46" i="47"/>
  <c r="G46" i="47"/>
  <c r="AC45" i="47"/>
  <c r="U45" i="47"/>
  <c r="M45" i="47"/>
  <c r="AI44" i="47"/>
  <c r="AA44" i="47"/>
  <c r="S44" i="47"/>
  <c r="K44" i="47"/>
  <c r="AG43" i="47"/>
  <c r="Y43" i="47"/>
  <c r="Q43" i="47"/>
  <c r="I43" i="47"/>
  <c r="AE42" i="47"/>
  <c r="W42" i="47"/>
  <c r="O42" i="47"/>
  <c r="G42" i="47"/>
  <c r="AC41" i="47"/>
  <c r="U41" i="47"/>
  <c r="M41" i="47"/>
  <c r="AI40" i="47"/>
  <c r="AA40" i="47"/>
  <c r="S40" i="47"/>
  <c r="K40" i="47"/>
  <c r="AG39" i="47"/>
  <c r="Y39" i="47"/>
  <c r="Q39" i="47"/>
  <c r="I39" i="47"/>
  <c r="AE38" i="47"/>
  <c r="W38" i="47"/>
  <c r="O38" i="47"/>
  <c r="G38" i="47"/>
  <c r="AC37" i="47"/>
  <c r="U37" i="47"/>
  <c r="M37" i="47"/>
  <c r="AI36" i="47"/>
  <c r="AA36" i="47"/>
  <c r="S36" i="47"/>
  <c r="K36" i="47"/>
  <c r="AG35" i="47"/>
  <c r="Y35" i="47"/>
  <c r="Q35" i="47"/>
  <c r="I35" i="47"/>
  <c r="AE34" i="47"/>
  <c r="W34" i="47"/>
  <c r="O34" i="47"/>
  <c r="G34" i="47"/>
  <c r="AC33" i="47"/>
  <c r="U33" i="47"/>
  <c r="M33" i="47"/>
  <c r="AI32" i="47"/>
  <c r="AA32" i="47"/>
  <c r="S32" i="47"/>
  <c r="K32" i="47"/>
  <c r="AG31" i="47"/>
  <c r="Y31" i="47"/>
  <c r="Q31" i="47"/>
  <c r="I31" i="47"/>
  <c r="AE30" i="47"/>
  <c r="W30" i="47"/>
  <c r="O30" i="47"/>
  <c r="G30" i="47"/>
  <c r="AC29" i="47"/>
  <c r="U29" i="47"/>
  <c r="M29" i="47"/>
  <c r="AI28" i="47"/>
  <c r="AA28" i="47"/>
  <c r="S28" i="47"/>
  <c r="K28" i="47"/>
  <c r="AG27" i="47"/>
  <c r="Y27" i="47"/>
  <c r="Q27" i="47"/>
  <c r="I27" i="47"/>
  <c r="AE26" i="47"/>
  <c r="W26" i="47"/>
  <c r="O26" i="47"/>
  <c r="G26" i="47"/>
  <c r="AC25" i="47"/>
  <c r="U25" i="47"/>
  <c r="M25" i="47"/>
  <c r="AI24" i="47"/>
  <c r="AA24" i="47"/>
  <c r="S24" i="47"/>
  <c r="K24" i="47"/>
  <c r="AG23" i="47"/>
  <c r="Y23" i="47"/>
  <c r="Q23" i="47"/>
  <c r="I23" i="47"/>
  <c r="AE22" i="47"/>
  <c r="W22" i="47"/>
  <c r="O22" i="47"/>
  <c r="G22" i="47"/>
  <c r="AC21" i="47"/>
  <c r="U21" i="47"/>
  <c r="M21" i="47"/>
  <c r="AI20" i="47"/>
  <c r="AA20" i="47"/>
  <c r="S20" i="47"/>
  <c r="K20" i="47"/>
  <c r="AG19" i="47"/>
  <c r="Y19" i="47"/>
  <c r="Q19" i="47"/>
  <c r="I19" i="47"/>
  <c r="AE18" i="47"/>
  <c r="W18" i="47"/>
  <c r="O18" i="47"/>
  <c r="G18" i="47"/>
  <c r="AC17" i="47"/>
  <c r="U17" i="47"/>
  <c r="M17" i="47"/>
  <c r="AI16" i="47"/>
  <c r="AA16" i="47"/>
  <c r="S16" i="47"/>
  <c r="K16" i="47"/>
  <c r="AG15" i="47"/>
  <c r="Y15" i="47"/>
  <c r="Q15" i="47"/>
  <c r="I15" i="47"/>
  <c r="AE14" i="47"/>
  <c r="W14" i="47"/>
  <c r="O14" i="47"/>
  <c r="G14" i="47"/>
  <c r="AC13" i="47"/>
  <c r="U13" i="47"/>
  <c r="M13" i="47"/>
  <c r="AI12" i="47"/>
  <c r="AA12" i="47"/>
  <c r="S12" i="47"/>
  <c r="K12" i="47"/>
  <c r="AG11" i="47"/>
  <c r="Y11" i="47"/>
  <c r="Q11" i="47"/>
  <c r="I11" i="47"/>
  <c r="AE10" i="47"/>
  <c r="W10" i="47"/>
  <c r="O10" i="47"/>
  <c r="G10" i="47"/>
  <c r="AC9" i="47"/>
  <c r="U9" i="47"/>
  <c r="M9" i="47"/>
  <c r="AI8" i="47"/>
  <c r="AA8" i="47"/>
  <c r="S8" i="47"/>
  <c r="K8" i="47"/>
  <c r="AG7" i="47"/>
  <c r="Y7" i="47"/>
  <c r="Q7" i="47"/>
  <c r="I7" i="47"/>
  <c r="AE6" i="47"/>
  <c r="W6" i="47"/>
  <c r="O6" i="47"/>
  <c r="G6" i="47"/>
  <c r="AC5" i="47"/>
  <c r="U5" i="47"/>
  <c r="M5" i="47"/>
  <c r="AI4" i="47"/>
  <c r="AA4" i="47"/>
  <c r="S4" i="47"/>
  <c r="K4" i="47"/>
  <c r="Q67" i="47"/>
  <c r="V66" i="47"/>
  <c r="AD65" i="47"/>
  <c r="J65" i="47"/>
  <c r="W64" i="47"/>
  <c r="G64" i="47"/>
  <c r="U63" i="47"/>
  <c r="AI62" i="47"/>
  <c r="S62" i="47"/>
  <c r="AG61" i="47"/>
  <c r="Q61" i="47"/>
  <c r="AE60" i="47"/>
  <c r="O60" i="47"/>
  <c r="AC59" i="47"/>
  <c r="M59" i="47"/>
  <c r="AA58" i="47"/>
  <c r="K58" i="47"/>
  <c r="Y57" i="47"/>
  <c r="I57" i="47"/>
  <c r="W56" i="47"/>
  <c r="G56" i="47"/>
  <c r="U55" i="47"/>
  <c r="AI54" i="47"/>
  <c r="S54" i="47"/>
  <c r="AG53" i="47"/>
  <c r="Q53" i="47"/>
  <c r="AE52" i="47"/>
  <c r="O52" i="47"/>
  <c r="AC51" i="47"/>
  <c r="M51" i="47"/>
  <c r="AA50" i="47"/>
  <c r="K50" i="47"/>
  <c r="Y49" i="47"/>
  <c r="I49" i="47"/>
  <c r="W48" i="47"/>
  <c r="G48" i="47"/>
  <c r="U47" i="47"/>
  <c r="AI46" i="47"/>
  <c r="S46" i="47"/>
  <c r="AG45" i="47"/>
  <c r="Q45" i="47"/>
  <c r="AE44" i="47"/>
  <c r="O44" i="47"/>
  <c r="AC43" i="47"/>
  <c r="M43" i="47"/>
  <c r="AA42" i="47"/>
  <c r="K42" i="47"/>
  <c r="Y41" i="47"/>
  <c r="I41" i="47"/>
  <c r="W40" i="47"/>
  <c r="G40" i="47"/>
  <c r="U39" i="47"/>
  <c r="AI38" i="47"/>
  <c r="S38" i="47"/>
  <c r="AG37" i="47"/>
  <c r="Q37" i="47"/>
  <c r="AE36" i="47"/>
  <c r="O36" i="47"/>
  <c r="AC35" i="47"/>
  <c r="M35" i="47"/>
  <c r="AA34" i="47"/>
  <c r="K34" i="47"/>
  <c r="Y33" i="47"/>
  <c r="I33" i="47"/>
  <c r="W32" i="47"/>
  <c r="G32" i="47"/>
  <c r="U31" i="47"/>
  <c r="AI30" i="47"/>
  <c r="S30" i="47"/>
  <c r="AG29" i="47"/>
  <c r="Q29" i="47"/>
  <c r="AE28" i="47"/>
  <c r="O28" i="47"/>
  <c r="AC27" i="47"/>
  <c r="M27" i="47"/>
  <c r="AA26" i="47"/>
  <c r="K26" i="47"/>
  <c r="Y25" i="47"/>
  <c r="I25" i="47"/>
  <c r="W24" i="47"/>
  <c r="G24" i="47"/>
  <c r="U23" i="47"/>
  <c r="AI22" i="47"/>
  <c r="S22" i="47"/>
  <c r="AG21" i="47"/>
  <c r="Q21" i="47"/>
  <c r="AE20" i="47"/>
  <c r="O20" i="47"/>
  <c r="AC19" i="47"/>
  <c r="M19" i="47"/>
  <c r="AA18" i="47"/>
  <c r="K18" i="47"/>
  <c r="Y17" i="47"/>
  <c r="I17" i="47"/>
  <c r="W16" i="47"/>
  <c r="G16" i="47"/>
  <c r="U15" i="47"/>
  <c r="AI14" i="47"/>
  <c r="S14" i="47"/>
  <c r="AG13" i="47"/>
  <c r="Q13" i="47"/>
  <c r="AE12" i="47"/>
  <c r="O12" i="47"/>
  <c r="AC11" i="47"/>
  <c r="M11" i="47"/>
  <c r="AA10" i="47"/>
  <c r="K10" i="47"/>
  <c r="Y9" i="47"/>
  <c r="I9" i="47"/>
  <c r="W8" i="47"/>
  <c r="G8" i="47"/>
  <c r="U7" i="47"/>
  <c r="AI6" i="47"/>
  <c r="S6" i="47"/>
  <c r="AG5" i="47"/>
  <c r="Q5" i="47"/>
  <c r="AE4" i="47"/>
  <c r="O4" i="47"/>
  <c r="Y65" i="47"/>
  <c r="AH23" i="47"/>
  <c r="Z11" i="47"/>
  <c r="AF6" i="47"/>
  <c r="AB4" i="47"/>
  <c r="AI50" i="47"/>
  <c r="AA38" i="47"/>
  <c r="G36" i="47"/>
  <c r="AG33" i="47"/>
  <c r="M31" i="47"/>
  <c r="K30" i="47"/>
  <c r="U27" i="47"/>
  <c r="Q25" i="47"/>
  <c r="M23" i="47"/>
  <c r="W20" i="47"/>
  <c r="S18" i="47"/>
  <c r="AC15" i="47"/>
  <c r="W12" i="47"/>
  <c r="S10" i="47"/>
  <c r="O8" i="47"/>
  <c r="K6" i="47"/>
  <c r="P17" i="47"/>
  <c r="U4" i="47"/>
  <c r="P67" i="47"/>
  <c r="S66" i="47"/>
  <c r="AC65" i="47"/>
  <c r="I65" i="47"/>
  <c r="V64" i="47"/>
  <c r="AJ63" i="47"/>
  <c r="T63" i="47"/>
  <c r="AH62" i="47"/>
  <c r="R62" i="47"/>
  <c r="AF61" i="47"/>
  <c r="P61" i="47"/>
  <c r="AD60" i="47"/>
  <c r="N60" i="47"/>
  <c r="AB59" i="47"/>
  <c r="L59" i="47"/>
  <c r="Z58" i="47"/>
  <c r="J58" i="47"/>
  <c r="X57" i="47"/>
  <c r="H57" i="47"/>
  <c r="V56" i="47"/>
  <c r="AJ55" i="47"/>
  <c r="T55" i="47"/>
  <c r="AH54" i="47"/>
  <c r="R54" i="47"/>
  <c r="AF53" i="47"/>
  <c r="P53" i="47"/>
  <c r="AD52" i="47"/>
  <c r="N52" i="47"/>
  <c r="AB51" i="47"/>
  <c r="L51" i="47"/>
  <c r="Z50" i="47"/>
  <c r="J50" i="47"/>
  <c r="X49" i="47"/>
  <c r="H49" i="47"/>
  <c r="V48" i="47"/>
  <c r="AJ47" i="47"/>
  <c r="T47" i="47"/>
  <c r="AH46" i="47"/>
  <c r="R46" i="47"/>
  <c r="AF45" i="47"/>
  <c r="P45" i="47"/>
  <c r="AD44" i="47"/>
  <c r="N44" i="47"/>
  <c r="AB43" i="47"/>
  <c r="L43" i="47"/>
  <c r="Z42" i="47"/>
  <c r="J42" i="47"/>
  <c r="X41" i="47"/>
  <c r="H41" i="47"/>
  <c r="V40" i="47"/>
  <c r="AJ39" i="47"/>
  <c r="T39" i="47"/>
  <c r="AH38" i="47"/>
  <c r="R38" i="47"/>
  <c r="AF37" i="47"/>
  <c r="P37" i="47"/>
  <c r="AD36" i="47"/>
  <c r="N36" i="47"/>
  <c r="AB35" i="47"/>
  <c r="L35" i="47"/>
  <c r="Z34" i="47"/>
  <c r="J34" i="47"/>
  <c r="X33" i="47"/>
  <c r="H33" i="47"/>
  <c r="V32" i="47"/>
  <c r="AJ31" i="47"/>
  <c r="T31" i="47"/>
  <c r="AH30" i="47"/>
  <c r="R30" i="47"/>
  <c r="AF29" i="47"/>
  <c r="P29" i="47"/>
  <c r="AD28" i="47"/>
  <c r="N28" i="47"/>
  <c r="AB27" i="47"/>
  <c r="L27" i="47"/>
  <c r="Z26" i="47"/>
  <c r="J26" i="47"/>
  <c r="X25" i="47"/>
  <c r="H25" i="47"/>
  <c r="V24" i="47"/>
  <c r="AJ23" i="47"/>
  <c r="T23" i="47"/>
  <c r="AH22" i="47"/>
  <c r="R22" i="47"/>
  <c r="AF21" i="47"/>
  <c r="P21" i="47"/>
  <c r="AD20" i="47"/>
  <c r="N20" i="47"/>
  <c r="AB19" i="47"/>
  <c r="L19" i="47"/>
  <c r="Z18" i="47"/>
  <c r="J18" i="47"/>
  <c r="X17" i="47"/>
  <c r="H17" i="47"/>
  <c r="V16" i="47"/>
  <c r="AJ15" i="47"/>
  <c r="T15" i="47"/>
  <c r="AH14" i="47"/>
  <c r="R14" i="47"/>
  <c r="AF13" i="47"/>
  <c r="P13" i="47"/>
  <c r="AD12" i="47"/>
  <c r="N12" i="47"/>
  <c r="AB11" i="47"/>
  <c r="L11" i="47"/>
  <c r="Z10" i="47"/>
  <c r="J10" i="47"/>
  <c r="X9" i="47"/>
  <c r="H9" i="47"/>
  <c r="V8" i="47"/>
  <c r="AJ7" i="47"/>
  <c r="T7" i="47"/>
  <c r="AH6" i="47"/>
  <c r="R6" i="47"/>
  <c r="AF5" i="47"/>
  <c r="P5" i="47"/>
  <c r="AD4" i="47"/>
  <c r="N4" i="47"/>
  <c r="Q66" i="47"/>
  <c r="AB12" i="47"/>
  <c r="W52" i="47"/>
  <c r="S42" i="47"/>
  <c r="M39" i="47"/>
  <c r="Y37" i="47"/>
  <c r="AI34" i="47"/>
  <c r="O32" i="47"/>
  <c r="AA30" i="47"/>
  <c r="G28" i="47"/>
  <c r="AG25" i="47"/>
  <c r="AC23" i="47"/>
  <c r="I21" i="47"/>
  <c r="AI18" i="47"/>
  <c r="AE16" i="47"/>
  <c r="M15" i="47"/>
  <c r="G12" i="47"/>
  <c r="Q9" i="47"/>
  <c r="M7" i="47"/>
  <c r="W4" i="47"/>
  <c r="AB15" i="47"/>
  <c r="L67" i="47"/>
  <c r="R66" i="47"/>
  <c r="AB65" i="47"/>
  <c r="H65" i="47"/>
  <c r="U64" i="47"/>
  <c r="AI63" i="47"/>
  <c r="S63" i="47"/>
  <c r="AG62" i="47"/>
  <c r="Q62" i="47"/>
  <c r="AE61" i="47"/>
  <c r="O61" i="47"/>
  <c r="AC60" i="47"/>
  <c r="M60" i="47"/>
  <c r="AA59" i="47"/>
  <c r="K59" i="47"/>
  <c r="Y58" i="47"/>
  <c r="I58" i="47"/>
  <c r="W57" i="47"/>
  <c r="G57" i="47"/>
  <c r="U56" i="47"/>
  <c r="AI55" i="47"/>
  <c r="S55" i="47"/>
  <c r="AG54" i="47"/>
  <c r="Q54" i="47"/>
  <c r="AE53" i="47"/>
  <c r="O53" i="47"/>
  <c r="AC52" i="47"/>
  <c r="M52" i="47"/>
  <c r="AA51" i="47"/>
  <c r="K51" i="47"/>
  <c r="Y50" i="47"/>
  <c r="I50" i="47"/>
  <c r="W49" i="47"/>
  <c r="G49" i="47"/>
  <c r="U48" i="47"/>
  <c r="AI47" i="47"/>
  <c r="S47" i="47"/>
  <c r="AG46" i="47"/>
  <c r="Q46" i="47"/>
  <c r="AE45" i="47"/>
  <c r="O45" i="47"/>
  <c r="AC44" i="47"/>
  <c r="M44" i="47"/>
  <c r="AA43" i="47"/>
  <c r="K43" i="47"/>
  <c r="Y42" i="47"/>
  <c r="I42" i="47"/>
  <c r="W41" i="47"/>
  <c r="G41" i="47"/>
  <c r="U40" i="47"/>
  <c r="AI39" i="47"/>
  <c r="S39" i="47"/>
  <c r="AG38" i="47"/>
  <c r="Q38" i="47"/>
  <c r="AE37" i="47"/>
  <c r="O37" i="47"/>
  <c r="AC36" i="47"/>
  <c r="M36" i="47"/>
  <c r="AA35" i="47"/>
  <c r="K35" i="47"/>
  <c r="Y34" i="47"/>
  <c r="I34" i="47"/>
  <c r="W33" i="47"/>
  <c r="G33" i="47"/>
  <c r="U32" i="47"/>
  <c r="AI31" i="47"/>
  <c r="S31" i="47"/>
  <c r="AG30" i="47"/>
  <c r="Q30" i="47"/>
  <c r="AE29" i="47"/>
  <c r="O29" i="47"/>
  <c r="AC28" i="47"/>
  <c r="M28" i="47"/>
  <c r="AA27" i="47"/>
  <c r="K27" i="47"/>
  <c r="Y26" i="47"/>
  <c r="I26" i="47"/>
  <c r="W25" i="47"/>
  <c r="G25" i="47"/>
  <c r="U24" i="47"/>
  <c r="AI23" i="47"/>
  <c r="S23" i="47"/>
  <c r="AG22" i="47"/>
  <c r="Q22" i="47"/>
  <c r="AE21" i="47"/>
  <c r="O21" i="47"/>
  <c r="AC20" i="47"/>
  <c r="M20" i="47"/>
  <c r="AA19" i="47"/>
  <c r="K19" i="47"/>
  <c r="Y18" i="47"/>
  <c r="I18" i="47"/>
  <c r="W17" i="47"/>
  <c r="G17" i="47"/>
  <c r="U16" i="47"/>
  <c r="AI15" i="47"/>
  <c r="S15" i="47"/>
  <c r="AG14" i="47"/>
  <c r="Q14" i="47"/>
  <c r="AE13" i="47"/>
  <c r="O13" i="47"/>
  <c r="AC12" i="47"/>
  <c r="M12" i="47"/>
  <c r="AA11" i="47"/>
  <c r="K11" i="47"/>
  <c r="Y10" i="47"/>
  <c r="I10" i="47"/>
  <c r="W9" i="47"/>
  <c r="G9" i="47"/>
  <c r="U8" i="47"/>
  <c r="AI7" i="47"/>
  <c r="S7" i="47"/>
  <c r="AG6" i="47"/>
  <c r="Q6" i="47"/>
  <c r="AE5" i="47"/>
  <c r="O5" i="47"/>
  <c r="AC4" i="47"/>
  <c r="M4" i="47"/>
  <c r="K67" i="47"/>
  <c r="T64" i="47"/>
  <c r="AH63" i="47"/>
  <c r="R63" i="47"/>
  <c r="AF62" i="47"/>
  <c r="P62" i="47"/>
  <c r="AD61" i="47"/>
  <c r="N61" i="47"/>
  <c r="AB60" i="47"/>
  <c r="L60" i="47"/>
  <c r="Z59" i="47"/>
  <c r="J59" i="47"/>
  <c r="X58" i="47"/>
  <c r="H58" i="47"/>
  <c r="V57" i="47"/>
  <c r="AJ56" i="47"/>
  <c r="T56" i="47"/>
  <c r="AH55" i="47"/>
  <c r="R55" i="47"/>
  <c r="AF54" i="47"/>
  <c r="P54" i="47"/>
  <c r="AD53" i="47"/>
  <c r="N53" i="47"/>
  <c r="AB52" i="47"/>
  <c r="L52" i="47"/>
  <c r="Z51" i="47"/>
  <c r="J51" i="47"/>
  <c r="X50" i="47"/>
  <c r="H50" i="47"/>
  <c r="V49" i="47"/>
  <c r="AJ48" i="47"/>
  <c r="T48" i="47"/>
  <c r="AH47" i="47"/>
  <c r="R47" i="47"/>
  <c r="AF46" i="47"/>
  <c r="P46" i="47"/>
  <c r="AD45" i="47"/>
  <c r="N45" i="47"/>
  <c r="AB44" i="47"/>
  <c r="L44" i="47"/>
  <c r="Z43" i="47"/>
  <c r="J43" i="47"/>
  <c r="X42" i="47"/>
  <c r="H42" i="47"/>
  <c r="V41" i="47"/>
  <c r="AJ40" i="47"/>
  <c r="T40" i="47"/>
  <c r="AH39" i="47"/>
  <c r="R39" i="47"/>
  <c r="AF38" i="47"/>
  <c r="P38" i="47"/>
  <c r="AD37" i="47"/>
  <c r="N37" i="47"/>
  <c r="AB36" i="47"/>
  <c r="L36" i="47"/>
  <c r="Z35" i="47"/>
  <c r="J35" i="47"/>
  <c r="X34" i="47"/>
  <c r="H34" i="47"/>
  <c r="V33" i="47"/>
  <c r="AJ32" i="47"/>
  <c r="T32" i="47"/>
  <c r="AH31" i="47"/>
  <c r="R31" i="47"/>
  <c r="AF30" i="47"/>
  <c r="P30" i="47"/>
  <c r="AD29" i="47"/>
  <c r="N29" i="47"/>
  <c r="AB28" i="47"/>
  <c r="L28" i="47"/>
  <c r="Z27" i="47"/>
  <c r="J27" i="47"/>
  <c r="X26" i="47"/>
  <c r="H26" i="47"/>
  <c r="V25" i="47"/>
  <c r="AJ24" i="47"/>
  <c r="T24" i="47"/>
  <c r="R23" i="47"/>
  <c r="AF22" i="47"/>
  <c r="AD21" i="47"/>
  <c r="N21" i="47"/>
  <c r="AB20" i="47"/>
  <c r="L20" i="47"/>
  <c r="Z19" i="47"/>
  <c r="J19" i="47"/>
  <c r="X18" i="47"/>
  <c r="H18" i="47"/>
  <c r="V17" i="47"/>
  <c r="AJ16" i="47"/>
  <c r="T16" i="47"/>
  <c r="AH15" i="47"/>
  <c r="R15" i="47"/>
  <c r="AF14" i="47"/>
  <c r="P14" i="47"/>
  <c r="AD13" i="47"/>
  <c r="N13" i="47"/>
  <c r="L12" i="47"/>
  <c r="J11" i="47"/>
  <c r="H10" i="47"/>
  <c r="V9" i="47"/>
  <c r="AJ8" i="47"/>
  <c r="T8" i="47"/>
  <c r="AH7" i="47"/>
  <c r="R7" i="47"/>
  <c r="P6" i="47"/>
  <c r="N5" i="47"/>
  <c r="U51" i="47"/>
  <c r="AE40" i="47"/>
  <c r="U35" i="47"/>
  <c r="AC31" i="47"/>
  <c r="I29" i="47"/>
  <c r="S26" i="47"/>
  <c r="AE24" i="47"/>
  <c r="K22" i="47"/>
  <c r="G20" i="47"/>
  <c r="Q17" i="47"/>
  <c r="K14" i="47"/>
  <c r="I13" i="47"/>
  <c r="AI10" i="47"/>
  <c r="AE8" i="47"/>
  <c r="AA6" i="47"/>
  <c r="G4" i="47"/>
  <c r="L15" i="47"/>
  <c r="G5" i="47"/>
  <c r="AG66" i="47"/>
  <c r="J66" i="47"/>
  <c r="T65" i="47"/>
  <c r="AE64" i="47"/>
  <c r="O64" i="47"/>
  <c r="AC63" i="47"/>
  <c r="M63" i="47"/>
  <c r="AA62" i="47"/>
  <c r="K62" i="47"/>
  <c r="Y61" i="47"/>
  <c r="I61" i="47"/>
  <c r="W60" i="47"/>
  <c r="G60" i="47"/>
  <c r="U59" i="47"/>
  <c r="AI58" i="47"/>
  <c r="S58" i="47"/>
  <c r="AG57" i="47"/>
  <c r="Q57" i="47"/>
  <c r="AE56" i="47"/>
  <c r="AC55" i="47"/>
  <c r="M55" i="47"/>
  <c r="AA54" i="47"/>
  <c r="K54" i="47"/>
  <c r="Y53" i="47"/>
  <c r="I53" i="47"/>
  <c r="G52" i="47"/>
  <c r="S50" i="47"/>
  <c r="AG49" i="47"/>
  <c r="Q49" i="47"/>
  <c r="AE48" i="47"/>
  <c r="O48" i="47"/>
  <c r="AC47" i="47"/>
  <c r="M47" i="47"/>
  <c r="AA46" i="47"/>
  <c r="K46" i="47"/>
  <c r="Y45" i="47"/>
  <c r="I45" i="47"/>
  <c r="W44" i="47"/>
  <c r="U43" i="47"/>
  <c r="AI42" i="47"/>
  <c r="Q41" i="47"/>
  <c r="AC39" i="47"/>
  <c r="I37" i="47"/>
  <c r="Q33" i="47"/>
  <c r="W28" i="47"/>
  <c r="AA22" i="47"/>
  <c r="AG17" i="47"/>
  <c r="AA14" i="47"/>
  <c r="U11" i="47"/>
  <c r="I5" i="47"/>
  <c r="AF17" i="47"/>
  <c r="V12" i="47"/>
  <c r="T11" i="47"/>
  <c r="R10" i="47"/>
  <c r="P9" i="47"/>
  <c r="N8" i="47"/>
  <c r="Z6" i="47"/>
  <c r="X5" i="47"/>
  <c r="H5" i="47"/>
  <c r="V4" i="47"/>
  <c r="AF66" i="47"/>
  <c r="I66" i="47"/>
  <c r="R65" i="47"/>
  <c r="AD64" i="47"/>
  <c r="N64" i="47"/>
  <c r="AB63" i="47"/>
  <c r="L63" i="47"/>
  <c r="Z62" i="47"/>
  <c r="J62" i="47"/>
  <c r="X61" i="47"/>
  <c r="H61" i="47"/>
  <c r="V60" i="47"/>
  <c r="AJ59" i="47"/>
  <c r="T59" i="47"/>
  <c r="AH58" i="47"/>
  <c r="R58" i="47"/>
  <c r="AF57" i="47"/>
  <c r="P57" i="47"/>
  <c r="AD56" i="47"/>
  <c r="N56" i="47"/>
  <c r="AB55" i="47"/>
  <c r="L55" i="47"/>
  <c r="Z54" i="47"/>
  <c r="J54" i="47"/>
  <c r="X53" i="47"/>
  <c r="H53" i="47"/>
  <c r="V52" i="47"/>
  <c r="AJ51" i="47"/>
  <c r="T51" i="47"/>
  <c r="AH50" i="47"/>
  <c r="R50" i="47"/>
  <c r="AF49" i="47"/>
  <c r="P49" i="47"/>
  <c r="AD48" i="47"/>
  <c r="N48" i="47"/>
  <c r="AB47" i="47"/>
  <c r="L47" i="47"/>
  <c r="Z46" i="47"/>
  <c r="J46" i="47"/>
  <c r="X45" i="47"/>
  <c r="H45" i="47"/>
  <c r="V44" i="47"/>
  <c r="AJ43" i="47"/>
  <c r="T43" i="47"/>
  <c r="AH42" i="47"/>
  <c r="R42" i="47"/>
  <c r="AF41" i="47"/>
  <c r="P41" i="47"/>
  <c r="AD40" i="47"/>
  <c r="N40" i="47"/>
  <c r="AB39" i="47"/>
  <c r="L39" i="47"/>
  <c r="Z38" i="47"/>
  <c r="J38" i="47"/>
  <c r="X37" i="47"/>
  <c r="H37" i="47"/>
  <c r="V36" i="47"/>
  <c r="AJ35" i="47"/>
  <c r="T35" i="47"/>
  <c r="AH34" i="47"/>
  <c r="R34" i="47"/>
  <c r="AF33" i="47"/>
  <c r="P33" i="47"/>
  <c r="AD32" i="47"/>
  <c r="N32" i="47"/>
  <c r="AB31" i="47"/>
  <c r="L31" i="47"/>
  <c r="Z30" i="47"/>
  <c r="J30" i="47"/>
  <c r="X29" i="47"/>
  <c r="H29" i="47"/>
  <c r="V28" i="47"/>
  <c r="AJ27" i="47"/>
  <c r="T27" i="47"/>
  <c r="AH26" i="47"/>
  <c r="R26" i="47"/>
  <c r="AF25" i="47"/>
  <c r="P25" i="47"/>
  <c r="AD24" i="47"/>
  <c r="N24" i="47"/>
  <c r="AB23" i="47"/>
  <c r="L23" i="47"/>
  <c r="Z22" i="47"/>
  <c r="J22" i="47"/>
  <c r="X21" i="47"/>
  <c r="H21" i="47"/>
  <c r="V20" i="47"/>
  <c r="AJ19" i="47"/>
  <c r="T19" i="47"/>
  <c r="AH18" i="47"/>
  <c r="R18" i="47"/>
  <c r="AD16" i="47"/>
  <c r="Z14" i="47"/>
  <c r="J14" i="47"/>
  <c r="X13" i="47"/>
  <c r="H13" i="47"/>
  <c r="AJ11" i="47"/>
  <c r="AH10" i="47"/>
  <c r="AF9" i="47"/>
  <c r="AD8" i="47"/>
  <c r="L7" i="47"/>
  <c r="J6" i="47"/>
  <c r="AE66" i="47"/>
  <c r="H66" i="47"/>
  <c r="Q65" i="47"/>
  <c r="AC64" i="47"/>
  <c r="M64" i="47"/>
  <c r="AA63" i="47"/>
  <c r="K63" i="47"/>
  <c r="Y62" i="47"/>
  <c r="I62" i="47"/>
  <c r="W61" i="47"/>
  <c r="G61" i="47"/>
  <c r="U60" i="47"/>
  <c r="AI59" i="47"/>
  <c r="S59" i="47"/>
  <c r="AG58" i="47"/>
  <c r="Q58" i="47"/>
  <c r="AE57" i="47"/>
  <c r="O57" i="47"/>
  <c r="AC56" i="47"/>
  <c r="M56" i="47"/>
  <c r="AA55" i="47"/>
  <c r="K55" i="47"/>
  <c r="Y54" i="47"/>
  <c r="I54" i="47"/>
  <c r="W53" i="47"/>
  <c r="G53" i="47"/>
  <c r="U52" i="47"/>
  <c r="AI51" i="47"/>
  <c r="S51" i="47"/>
  <c r="AG50" i="47"/>
  <c r="Q50" i="47"/>
  <c r="AE49" i="47"/>
  <c r="O49" i="47"/>
  <c r="AC48" i="47"/>
  <c r="M48" i="47"/>
  <c r="AA47" i="47"/>
  <c r="K47" i="47"/>
  <c r="Y46" i="47"/>
  <c r="I46" i="47"/>
  <c r="W45" i="47"/>
  <c r="G45" i="47"/>
  <c r="U44" i="47"/>
  <c r="AI43" i="47"/>
  <c r="S43" i="47"/>
  <c r="AG42" i="47"/>
  <c r="Q42" i="47"/>
  <c r="AE41" i="47"/>
  <c r="O41" i="47"/>
  <c r="AC40" i="47"/>
  <c r="M40" i="47"/>
  <c r="AA39" i="47"/>
  <c r="K39" i="47"/>
  <c r="Y38" i="47"/>
  <c r="I38" i="47"/>
  <c r="W37" i="47"/>
  <c r="G37" i="47"/>
  <c r="U36" i="47"/>
  <c r="AI35" i="47"/>
  <c r="S35" i="47"/>
  <c r="AG34" i="47"/>
  <c r="Q34" i="47"/>
  <c r="AE33" i="47"/>
  <c r="O33" i="47"/>
  <c r="AC32" i="47"/>
  <c r="M32" i="47"/>
  <c r="AA31" i="47"/>
  <c r="K31" i="47"/>
  <c r="Y30" i="47"/>
  <c r="I30" i="47"/>
  <c r="W29" i="47"/>
  <c r="G29" i="47"/>
  <c r="U28" i="47"/>
  <c r="AI27" i="47"/>
  <c r="S27" i="47"/>
  <c r="AG26" i="47"/>
  <c r="Q26" i="47"/>
  <c r="AE25" i="47"/>
  <c r="O25" i="47"/>
  <c r="AC24" i="47"/>
  <c r="M24" i="47"/>
  <c r="AA23" i="47"/>
  <c r="K23" i="47"/>
  <c r="Y22" i="47"/>
  <c r="I22" i="47"/>
  <c r="W21" i="47"/>
  <c r="G21" i="47"/>
  <c r="U20" i="47"/>
  <c r="AI19" i="47"/>
  <c r="S19" i="47"/>
  <c r="AG18" i="47"/>
  <c r="Q18" i="47"/>
  <c r="AE17" i="47"/>
  <c r="O17" i="47"/>
  <c r="AC16" i="47"/>
  <c r="M16" i="47"/>
  <c r="AA15" i="47"/>
  <c r="K15" i="47"/>
  <c r="Y14" i="47"/>
  <c r="I14" i="47"/>
  <c r="W13" i="47"/>
  <c r="G13" i="47"/>
  <c r="U12" i="47"/>
  <c r="AI11" i="47"/>
  <c r="S11" i="47"/>
  <c r="AG10" i="47"/>
  <c r="Q10" i="47"/>
  <c r="AE9" i="47"/>
  <c r="O9" i="47"/>
  <c r="AC8" i="47"/>
  <c r="M8" i="47"/>
  <c r="AA7" i="47"/>
  <c r="K7" i="47"/>
  <c r="Y6" i="47"/>
  <c r="I6" i="47"/>
  <c r="AD66" i="47"/>
  <c r="G66" i="47"/>
  <c r="P65" i="47"/>
  <c r="AB64" i="47"/>
  <c r="L64" i="47"/>
  <c r="Z63" i="47"/>
  <c r="J63" i="47"/>
  <c r="X62" i="47"/>
  <c r="H62" i="47"/>
  <c r="V61" i="47"/>
  <c r="AJ60" i="47"/>
  <c r="T60" i="47"/>
  <c r="AH59" i="47"/>
  <c r="R59" i="47"/>
  <c r="AF58" i="47"/>
  <c r="P58" i="47"/>
  <c r="AD57" i="47"/>
  <c r="N57" i="47"/>
  <c r="AB56" i="47"/>
  <c r="L56" i="47"/>
  <c r="Z55" i="47"/>
  <c r="J55" i="47"/>
  <c r="X54" i="47"/>
  <c r="H54" i="47"/>
  <c r="V53" i="47"/>
  <c r="AJ52" i="47"/>
  <c r="T52" i="47"/>
  <c r="AH51" i="47"/>
  <c r="R51" i="47"/>
  <c r="AF50" i="47"/>
  <c r="P50" i="47"/>
  <c r="AD49" i="47"/>
  <c r="N49" i="47"/>
  <c r="AB48" i="47"/>
  <c r="L48" i="47"/>
  <c r="Z47" i="47"/>
  <c r="J47" i="47"/>
  <c r="X46" i="47"/>
  <c r="H46" i="47"/>
  <c r="V45" i="47"/>
  <c r="AJ44" i="47"/>
  <c r="T44" i="47"/>
  <c r="AH43" i="47"/>
  <c r="R43" i="47"/>
  <c r="AF42" i="47"/>
  <c r="P42" i="47"/>
  <c r="AD41" i="47"/>
  <c r="N41" i="47"/>
  <c r="AB40" i="47"/>
  <c r="L40" i="47"/>
  <c r="Z39" i="47"/>
  <c r="J39" i="47"/>
  <c r="X38" i="47"/>
  <c r="H38" i="47"/>
  <c r="V37" i="47"/>
  <c r="AJ36" i="47"/>
  <c r="T36" i="47"/>
  <c r="AH35" i="47"/>
  <c r="R35" i="47"/>
  <c r="AF34" i="47"/>
  <c r="P34" i="47"/>
  <c r="AD33" i="47"/>
  <c r="N33" i="47"/>
  <c r="AB32" i="47"/>
  <c r="L32" i="47"/>
  <c r="Z31" i="47"/>
  <c r="J31" i="47"/>
  <c r="X30" i="47"/>
  <c r="H30" i="47"/>
  <c r="V29" i="47"/>
  <c r="AJ28" i="47"/>
  <c r="T28" i="47"/>
  <c r="AH27" i="47"/>
  <c r="R27" i="47"/>
  <c r="AF26" i="47"/>
  <c r="P26" i="47"/>
  <c r="AD25" i="47"/>
  <c r="N25" i="47"/>
  <c r="AB24" i="47"/>
  <c r="L24" i="47"/>
  <c r="Z23" i="47"/>
  <c r="J23" i="47"/>
  <c r="X22" i="47"/>
  <c r="H22" i="47"/>
  <c r="V21" i="47"/>
  <c r="AJ20" i="47"/>
  <c r="T20" i="47"/>
  <c r="AH19" i="47"/>
  <c r="R19" i="47"/>
  <c r="AF18" i="47"/>
  <c r="P18" i="47"/>
  <c r="AD17" i="47"/>
  <c r="N17" i="47"/>
  <c r="AB16" i="47"/>
  <c r="L16" i="47"/>
  <c r="Z15" i="47"/>
  <c r="J15" i="47"/>
  <c r="X14" i="47"/>
  <c r="H14" i="47"/>
  <c r="V13" i="47"/>
  <c r="AJ12" i="47"/>
  <c r="T12" i="47"/>
  <c r="AH11" i="47"/>
  <c r="R11" i="47"/>
  <c r="AF10" i="47"/>
  <c r="P10" i="47"/>
  <c r="AD9" i="47"/>
  <c r="N9" i="47"/>
  <c r="AB8" i="47"/>
  <c r="L8" i="47"/>
  <c r="Z7" i="47"/>
  <c r="J7" i="47"/>
  <c r="X6" i="47"/>
  <c r="H6" i="47"/>
  <c r="V5" i="47"/>
  <c r="AJ4" i="47"/>
  <c r="T4" i="47"/>
  <c r="G65" i="47"/>
  <c r="P22" i="47"/>
  <c r="X10" i="47"/>
  <c r="AD5" i="47"/>
  <c r="L4" i="47"/>
  <c r="O56" i="47"/>
  <c r="G44" i="47"/>
  <c r="AG41" i="47"/>
  <c r="O40" i="47"/>
  <c r="K38" i="47"/>
  <c r="W36" i="47"/>
  <c r="S34" i="47"/>
  <c r="AE32" i="47"/>
  <c r="Y29" i="47"/>
  <c r="AI26" i="47"/>
  <c r="O24" i="47"/>
  <c r="Y21" i="47"/>
  <c r="U19" i="47"/>
  <c r="O16" i="47"/>
  <c r="Y13" i="47"/>
  <c r="AG9" i="47"/>
  <c r="AC7" i="47"/>
  <c r="Y5" i="47"/>
  <c r="N16" i="47"/>
  <c r="AB7" i="47"/>
  <c r="W5" i="47"/>
  <c r="B447" i="2" l="1"/>
  <c r="B355" i="2"/>
  <c r="B475" i="2" s="1"/>
  <c r="B180" i="2"/>
  <c r="B453" i="2" s="1"/>
  <c r="T3" i="19"/>
  <c r="V3" i="19" s="1"/>
  <c r="B199" i="2"/>
  <c r="B454" i="2" s="1"/>
  <c r="B11" i="24"/>
  <c r="Z3" i="19" l="1"/>
  <c r="AC3" i="19"/>
  <c r="B53" i="24"/>
  <c r="B5" i="24" l="1"/>
  <c r="B6" i="2"/>
  <c r="B7" i="2" l="1"/>
  <c r="F3" i="6" l="1"/>
  <c r="G4" i="6"/>
  <c r="G5" i="6"/>
  <c r="E6" i="6"/>
  <c r="E7" i="6"/>
  <c r="E8" i="6"/>
  <c r="E9" i="6"/>
  <c r="E10" i="6"/>
  <c r="E11" i="6"/>
  <c r="G12" i="6"/>
  <c r="G13" i="6"/>
  <c r="E14" i="6"/>
  <c r="E15" i="6"/>
  <c r="F16" i="6"/>
  <c r="G17" i="6"/>
  <c r="E18" i="6"/>
  <c r="E19" i="6"/>
  <c r="G20" i="6"/>
  <c r="E21" i="6"/>
  <c r="E22" i="6"/>
  <c r="E23" i="6"/>
  <c r="F24" i="6"/>
  <c r="E25" i="6"/>
  <c r="E26" i="6"/>
  <c r="E27" i="6"/>
  <c r="G28" i="6"/>
  <c r="F29" i="6"/>
  <c r="E30" i="6"/>
  <c r="G31" i="6"/>
  <c r="F32" i="6"/>
  <c r="G33" i="6"/>
  <c r="E34" i="6"/>
  <c r="F35" i="6"/>
  <c r="G36" i="6"/>
  <c r="F37" i="6"/>
  <c r="E38" i="6"/>
  <c r="E39" i="6"/>
  <c r="F40" i="6"/>
  <c r="G41" i="6"/>
  <c r="E42" i="6"/>
  <c r="G43" i="6"/>
  <c r="G44" i="6"/>
  <c r="G45" i="6"/>
  <c r="F46" i="6"/>
  <c r="E47" i="6"/>
  <c r="F48" i="6"/>
  <c r="G49" i="6"/>
  <c r="E50" i="6"/>
  <c r="E51" i="6"/>
  <c r="G52" i="6"/>
  <c r="E53" i="6"/>
  <c r="E54" i="6"/>
  <c r="G55" i="6"/>
  <c r="F56" i="6"/>
  <c r="E57" i="6"/>
  <c r="E58" i="6"/>
  <c r="E59" i="6"/>
  <c r="G60" i="6"/>
  <c r="E61" i="6"/>
  <c r="F62" i="6"/>
  <c r="G63" i="6"/>
  <c r="F64" i="6"/>
  <c r="F65" i="6"/>
  <c r="E66" i="6"/>
  <c r="F67" i="6"/>
  <c r="G68" i="6"/>
  <c r="E69" i="6"/>
  <c r="E70" i="6"/>
  <c r="E71" i="6"/>
  <c r="F72" i="6"/>
  <c r="F73" i="6"/>
  <c r="E74" i="6"/>
  <c r="G75" i="6"/>
  <c r="G76" i="6"/>
  <c r="G77" i="6"/>
  <c r="F78" i="6"/>
  <c r="F79" i="6"/>
  <c r="F80" i="6"/>
  <c r="G81" i="6"/>
  <c r="E82" i="6"/>
  <c r="E83" i="6"/>
  <c r="G84" i="6"/>
  <c r="E85" i="6"/>
  <c r="E86" i="6"/>
  <c r="E87" i="6"/>
  <c r="F88" i="6"/>
  <c r="E89" i="6"/>
  <c r="E90" i="6"/>
  <c r="G91" i="6"/>
  <c r="G92" i="6"/>
  <c r="E93" i="6"/>
  <c r="F94" i="6"/>
  <c r="G95" i="6"/>
  <c r="F96" i="6"/>
  <c r="E97" i="6"/>
  <c r="E98" i="6"/>
  <c r="F99" i="6"/>
  <c r="G100" i="6"/>
  <c r="E101" i="6"/>
  <c r="E102" i="6"/>
  <c r="E103" i="6"/>
  <c r="F104" i="6"/>
  <c r="E105" i="6"/>
  <c r="E106" i="6"/>
  <c r="F107" i="6"/>
  <c r="G108" i="6"/>
  <c r="G109" i="6"/>
  <c r="E110" i="6"/>
  <c r="E111" i="6"/>
  <c r="F112" i="6"/>
  <c r="G113" i="6"/>
  <c r="E114" i="6"/>
  <c r="G115" i="6"/>
  <c r="G116" i="6"/>
  <c r="E117" i="6"/>
  <c r="E118" i="6"/>
  <c r="E119" i="6"/>
  <c r="F120" i="6"/>
  <c r="E121" i="6"/>
  <c r="E122" i="6"/>
  <c r="F123" i="6"/>
  <c r="G124" i="6"/>
  <c r="F125" i="6"/>
  <c r="E126" i="6"/>
  <c r="F127" i="6"/>
  <c r="G128" i="6"/>
  <c r="E129" i="6"/>
  <c r="E130" i="6"/>
  <c r="F131" i="6"/>
  <c r="G132" i="6"/>
  <c r="G133" i="6"/>
  <c r="E134" i="6"/>
  <c r="G135" i="6"/>
  <c r="G136" i="6"/>
  <c r="E137" i="6"/>
  <c r="F138" i="6"/>
  <c r="G139" i="6"/>
  <c r="G140" i="6"/>
  <c r="E141" i="6"/>
  <c r="F142" i="6"/>
  <c r="F143" i="6"/>
  <c r="G144" i="6"/>
  <c r="E145" i="6"/>
  <c r="E146" i="6"/>
  <c r="G147" i="6"/>
  <c r="G148" i="6"/>
  <c r="E149" i="6"/>
  <c r="E150" i="6"/>
  <c r="G151" i="6"/>
  <c r="G152" i="6"/>
  <c r="E153" i="6"/>
  <c r="F154" i="6"/>
  <c r="F155" i="6"/>
  <c r="G156" i="6"/>
  <c r="E157" i="6"/>
  <c r="F158" i="6"/>
  <c r="F159" i="6"/>
  <c r="E160" i="6"/>
  <c r="E161" i="6"/>
  <c r="E163" i="6"/>
  <c r="F164" i="6"/>
  <c r="E165" i="6"/>
  <c r="G166" i="6"/>
  <c r="E167" i="6"/>
  <c r="G168" i="6"/>
  <c r="E169" i="6"/>
  <c r="E171" i="6"/>
  <c r="G172" i="6"/>
  <c r="E173" i="6"/>
  <c r="E175" i="6"/>
  <c r="G176" i="6"/>
  <c r="E177" i="6"/>
  <c r="E179" i="6"/>
  <c r="G180" i="6"/>
  <c r="E181" i="6"/>
  <c r="G182" i="6"/>
  <c r="E183" i="6"/>
  <c r="G184" i="6"/>
  <c r="E185" i="6"/>
  <c r="E187" i="6"/>
  <c r="G188" i="6"/>
  <c r="E189" i="6"/>
  <c r="G190" i="6"/>
  <c r="F191" i="6"/>
  <c r="G192" i="6"/>
  <c r="E193" i="6"/>
  <c r="F194" i="6"/>
  <c r="F195" i="6"/>
  <c r="G196" i="6"/>
  <c r="F197" i="6"/>
  <c r="E198" i="6"/>
  <c r="F199" i="6"/>
  <c r="G200" i="6"/>
  <c r="E201" i="6"/>
  <c r="E202" i="6"/>
  <c r="F203" i="6"/>
  <c r="G204" i="6"/>
  <c r="G205" i="6"/>
  <c r="E206" i="6"/>
  <c r="F207" i="6"/>
  <c r="G208" i="6"/>
  <c r="E209" i="6"/>
  <c r="F212" i="6"/>
  <c r="G213" i="6"/>
  <c r="F214" i="6"/>
  <c r="G215" i="6"/>
  <c r="G217" i="6"/>
  <c r="E218" i="6"/>
  <c r="G219" i="6"/>
  <c r="F2" i="6"/>
  <c r="I3" i="6"/>
  <c r="I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 i="6"/>
  <c r="E3" i="6"/>
  <c r="G3" i="6"/>
  <c r="E4" i="6"/>
  <c r="F4" i="6"/>
  <c r="E5" i="6"/>
  <c r="G6" i="6"/>
  <c r="G9" i="6"/>
  <c r="F10" i="6"/>
  <c r="G10" i="6"/>
  <c r="F11" i="6"/>
  <c r="G11" i="6"/>
  <c r="E12" i="6"/>
  <c r="F12" i="6"/>
  <c r="G14" i="6"/>
  <c r="G15" i="6"/>
  <c r="E16" i="6"/>
  <c r="F17" i="6"/>
  <c r="F18" i="6"/>
  <c r="G18" i="6"/>
  <c r="E20" i="6"/>
  <c r="F20" i="6"/>
  <c r="F21" i="6"/>
  <c r="G22" i="6"/>
  <c r="E24" i="6"/>
  <c r="F25" i="6"/>
  <c r="F26" i="6"/>
  <c r="G26" i="6"/>
  <c r="E28" i="6"/>
  <c r="F28" i="6"/>
  <c r="G30" i="6"/>
  <c r="E31" i="6"/>
  <c r="E32" i="6"/>
  <c r="F33" i="6"/>
  <c r="F34" i="6"/>
  <c r="G34" i="6"/>
  <c r="G35" i="6"/>
  <c r="E36" i="6"/>
  <c r="F36" i="6"/>
  <c r="G38" i="6"/>
  <c r="F39" i="6"/>
  <c r="E40" i="6"/>
  <c r="F42" i="6"/>
  <c r="G42" i="6"/>
  <c r="E43" i="6"/>
  <c r="F43" i="6"/>
  <c r="E44" i="6"/>
  <c r="F44" i="6"/>
  <c r="G46" i="6"/>
  <c r="E48" i="6"/>
  <c r="F50" i="6"/>
  <c r="G50" i="6"/>
  <c r="E52" i="6"/>
  <c r="F52" i="6"/>
  <c r="G54" i="6"/>
  <c r="E56" i="6"/>
  <c r="F58" i="6"/>
  <c r="G58" i="6"/>
  <c r="G59" i="6"/>
  <c r="E60" i="6"/>
  <c r="F60" i="6"/>
  <c r="G62" i="6"/>
  <c r="E64" i="6"/>
  <c r="E65" i="6"/>
  <c r="F66" i="6"/>
  <c r="G66" i="6"/>
  <c r="G67" i="6"/>
  <c r="E68" i="6"/>
  <c r="F68" i="6"/>
  <c r="G70" i="6"/>
  <c r="E72" i="6"/>
  <c r="E73" i="6"/>
  <c r="F74" i="6"/>
  <c r="G74" i="6"/>
  <c r="F75" i="6"/>
  <c r="E76" i="6"/>
  <c r="G78" i="6"/>
  <c r="E80" i="6"/>
  <c r="F82" i="6"/>
  <c r="G82" i="6"/>
  <c r="F83" i="6"/>
  <c r="G83" i="6"/>
  <c r="E84" i="6"/>
  <c r="G86" i="6"/>
  <c r="E88" i="6"/>
  <c r="F90" i="6"/>
  <c r="G90" i="6"/>
  <c r="F91" i="6"/>
  <c r="E92" i="6"/>
  <c r="G93" i="6"/>
  <c r="G94" i="6"/>
  <c r="E96" i="6"/>
  <c r="F98" i="6"/>
  <c r="G98" i="6"/>
  <c r="E99" i="6"/>
  <c r="G99" i="6"/>
  <c r="E100" i="6"/>
  <c r="G101" i="6"/>
  <c r="G102" i="6"/>
  <c r="E104" i="6"/>
  <c r="F106" i="6"/>
  <c r="G106" i="6"/>
  <c r="E107" i="6"/>
  <c r="F109" i="6"/>
  <c r="G110" i="6"/>
  <c r="G111" i="6"/>
  <c r="F114" i="6"/>
  <c r="G114" i="6"/>
  <c r="F115" i="6"/>
  <c r="G117" i="6"/>
  <c r="G118" i="6"/>
  <c r="G119" i="6"/>
  <c r="G121" i="6"/>
  <c r="F122" i="6"/>
  <c r="G122" i="6"/>
  <c r="G125" i="6"/>
  <c r="E128" i="6"/>
  <c r="F132" i="6"/>
  <c r="F133" i="6"/>
  <c r="G134" i="6"/>
  <c r="F136" i="6"/>
  <c r="E140" i="6"/>
  <c r="F144" i="6"/>
  <c r="E147" i="6"/>
  <c r="G150" i="6"/>
  <c r="E152" i="6"/>
  <c r="F152" i="6"/>
  <c r="F156" i="6"/>
  <c r="G174" i="6"/>
  <c r="E192" i="6"/>
  <c r="F198" i="6"/>
  <c r="N68" i="6" l="1"/>
  <c r="K68" i="6"/>
  <c r="N4" i="6"/>
  <c r="K4" i="6"/>
  <c r="P190" i="6"/>
  <c r="M190" i="6"/>
  <c r="M67" i="6"/>
  <c r="P67" i="6"/>
  <c r="P3" i="6"/>
  <c r="M3" i="6"/>
  <c r="P205" i="6"/>
  <c r="M205" i="6"/>
  <c r="N160" i="6"/>
  <c r="K160" i="6"/>
  <c r="K192" i="6"/>
  <c r="N192" i="6"/>
  <c r="P101" i="6"/>
  <c r="M101" i="6"/>
  <c r="P58" i="6"/>
  <c r="M58" i="6"/>
  <c r="O17" i="6"/>
  <c r="L17" i="6"/>
  <c r="N179" i="6"/>
  <c r="K179" i="6"/>
  <c r="P135" i="6"/>
  <c r="M135" i="6"/>
  <c r="P95" i="6"/>
  <c r="M95" i="6"/>
  <c r="P55" i="6"/>
  <c r="M55" i="6"/>
  <c r="P110" i="6"/>
  <c r="M110" i="6"/>
  <c r="P46" i="6"/>
  <c r="M46" i="6"/>
  <c r="N16" i="6"/>
  <c r="K16" i="6"/>
  <c r="O195" i="6"/>
  <c r="L195" i="6"/>
  <c r="L158" i="6"/>
  <c r="O158" i="6"/>
  <c r="N126" i="6"/>
  <c r="K126" i="6"/>
  <c r="L94" i="6"/>
  <c r="O94" i="6"/>
  <c r="N38" i="6"/>
  <c r="K38" i="6"/>
  <c r="P150" i="6"/>
  <c r="M150" i="6"/>
  <c r="K128" i="6"/>
  <c r="N128" i="6"/>
  <c r="L115" i="6"/>
  <c r="O115" i="6"/>
  <c r="O106" i="6"/>
  <c r="L106" i="6"/>
  <c r="O98" i="6"/>
  <c r="L98" i="6"/>
  <c r="K88" i="6"/>
  <c r="N88" i="6"/>
  <c r="M78" i="6"/>
  <c r="P78" i="6"/>
  <c r="O68" i="6"/>
  <c r="L68" i="6"/>
  <c r="O60" i="6"/>
  <c r="L60" i="6"/>
  <c r="N52" i="6"/>
  <c r="K52" i="6"/>
  <c r="N43" i="6"/>
  <c r="K43" i="6"/>
  <c r="P35" i="6"/>
  <c r="M35" i="6"/>
  <c r="N28" i="6"/>
  <c r="K28" i="6"/>
  <c r="N20" i="6"/>
  <c r="K20" i="6"/>
  <c r="N12" i="6"/>
  <c r="K12" i="6"/>
  <c r="O4" i="6"/>
  <c r="L4" i="6"/>
  <c r="K218" i="6"/>
  <c r="N218" i="6"/>
  <c r="O207" i="6"/>
  <c r="L207" i="6"/>
  <c r="O199" i="6"/>
  <c r="L199" i="6"/>
  <c r="L191" i="6"/>
  <c r="O191" i="6"/>
  <c r="P182" i="6"/>
  <c r="M182" i="6"/>
  <c r="P172" i="6"/>
  <c r="M172" i="6"/>
  <c r="N163" i="6"/>
  <c r="K163" i="6"/>
  <c r="O154" i="6"/>
  <c r="L154" i="6"/>
  <c r="N146" i="6"/>
  <c r="K146" i="6"/>
  <c r="O138" i="6"/>
  <c r="L138" i="6"/>
  <c r="N130" i="6"/>
  <c r="K130" i="6"/>
  <c r="N122" i="6"/>
  <c r="K122" i="6"/>
  <c r="N114" i="6"/>
  <c r="K114" i="6"/>
  <c r="N106" i="6"/>
  <c r="K106" i="6"/>
  <c r="K98" i="6"/>
  <c r="N98" i="6"/>
  <c r="N90" i="6"/>
  <c r="K90" i="6"/>
  <c r="K82" i="6"/>
  <c r="N82" i="6"/>
  <c r="N74" i="6"/>
  <c r="K74" i="6"/>
  <c r="N66" i="6"/>
  <c r="K66" i="6"/>
  <c r="N58" i="6"/>
  <c r="K58" i="6"/>
  <c r="N50" i="6"/>
  <c r="K50" i="6"/>
  <c r="N42" i="6"/>
  <c r="K42" i="6"/>
  <c r="N34" i="6"/>
  <c r="K34" i="6"/>
  <c r="N26" i="6"/>
  <c r="K26" i="6"/>
  <c r="N18" i="6"/>
  <c r="K18" i="6"/>
  <c r="N10" i="6"/>
  <c r="K10" i="6"/>
  <c r="N60" i="6"/>
  <c r="K60" i="6"/>
  <c r="N206" i="6"/>
  <c r="K206" i="6"/>
  <c r="N181" i="6"/>
  <c r="K181" i="6"/>
  <c r="N171" i="6"/>
  <c r="K171" i="6"/>
  <c r="K161" i="6"/>
  <c r="N161" i="6"/>
  <c r="K153" i="6"/>
  <c r="N153" i="6"/>
  <c r="K145" i="6"/>
  <c r="N145" i="6"/>
  <c r="K137" i="6"/>
  <c r="N137" i="6"/>
  <c r="K129" i="6"/>
  <c r="N129" i="6"/>
  <c r="K121" i="6"/>
  <c r="N121" i="6"/>
  <c r="P113" i="6"/>
  <c r="M113" i="6"/>
  <c r="N105" i="6"/>
  <c r="K105" i="6"/>
  <c r="K97" i="6"/>
  <c r="N97" i="6"/>
  <c r="K89" i="6"/>
  <c r="N89" i="6"/>
  <c r="P81" i="6"/>
  <c r="M81" i="6"/>
  <c r="O73" i="6"/>
  <c r="L73" i="6"/>
  <c r="O65" i="6"/>
  <c r="L65" i="6"/>
  <c r="K57" i="6"/>
  <c r="N57" i="6"/>
  <c r="P49" i="6"/>
  <c r="M49" i="6"/>
  <c r="P41" i="6"/>
  <c r="M41" i="6"/>
  <c r="P33" i="6"/>
  <c r="M33" i="6"/>
  <c r="N25" i="6"/>
  <c r="K25" i="6"/>
  <c r="P17" i="6"/>
  <c r="M17" i="6"/>
  <c r="N9" i="6"/>
  <c r="K9" i="6"/>
  <c r="P125" i="6"/>
  <c r="M125" i="6"/>
  <c r="P26" i="6"/>
  <c r="M26" i="6"/>
  <c r="P94" i="6"/>
  <c r="M94" i="6"/>
  <c r="O34" i="6"/>
  <c r="L34" i="6"/>
  <c r="L197" i="6"/>
  <c r="O197" i="6"/>
  <c r="N169" i="6"/>
  <c r="K169" i="6"/>
  <c r="M128" i="6"/>
  <c r="P128" i="6"/>
  <c r="O120" i="6"/>
  <c r="L120" i="6"/>
  <c r="L112" i="6"/>
  <c r="O112" i="6"/>
  <c r="L104" i="6"/>
  <c r="O104" i="6"/>
  <c r="O96" i="6"/>
  <c r="L96" i="6"/>
  <c r="O88" i="6"/>
  <c r="L88" i="6"/>
  <c r="O80" i="6"/>
  <c r="L80" i="6"/>
  <c r="O72" i="6"/>
  <c r="L72" i="6"/>
  <c r="O64" i="6"/>
  <c r="L64" i="6"/>
  <c r="O56" i="6"/>
  <c r="L56" i="6"/>
  <c r="O48" i="6"/>
  <c r="L48" i="6"/>
  <c r="O40" i="6"/>
  <c r="L40" i="6"/>
  <c r="O32" i="6"/>
  <c r="L32" i="6"/>
  <c r="O24" i="6"/>
  <c r="L24" i="6"/>
  <c r="O16" i="6"/>
  <c r="L16" i="6"/>
  <c r="N8" i="6"/>
  <c r="K8" i="6"/>
  <c r="M114" i="6"/>
  <c r="P114" i="6"/>
  <c r="P34" i="6"/>
  <c r="M34" i="6"/>
  <c r="P102" i="6"/>
  <c r="M102" i="6"/>
  <c r="O42" i="6"/>
  <c r="L42" i="6"/>
  <c r="P180" i="6"/>
  <c r="M180" i="6"/>
  <c r="M66" i="6"/>
  <c r="P66" i="6"/>
  <c r="L214" i="6"/>
  <c r="O214" i="6"/>
  <c r="O143" i="6"/>
  <c r="L143" i="6"/>
  <c r="K103" i="6"/>
  <c r="N103" i="6"/>
  <c r="K87" i="6"/>
  <c r="N87" i="6"/>
  <c r="N47" i="6"/>
  <c r="K47" i="6"/>
  <c r="K39" i="6"/>
  <c r="N39" i="6"/>
  <c r="P31" i="6"/>
  <c r="M31" i="6"/>
  <c r="K23" i="6"/>
  <c r="N23" i="6"/>
  <c r="N15" i="6"/>
  <c r="K15" i="6"/>
  <c r="N7" i="6"/>
  <c r="K7" i="6"/>
  <c r="P86" i="6"/>
  <c r="M86" i="6"/>
  <c r="P11" i="6"/>
  <c r="M11" i="6"/>
  <c r="O114" i="6"/>
  <c r="L114" i="6"/>
  <c r="O50" i="6"/>
  <c r="L50" i="6"/>
  <c r="N189" i="6"/>
  <c r="K189" i="6"/>
  <c r="O10" i="6"/>
  <c r="L10" i="6"/>
  <c r="N54" i="6"/>
  <c r="K54" i="6"/>
  <c r="N147" i="6"/>
  <c r="K147" i="6"/>
  <c r="N76" i="6"/>
  <c r="K76" i="6"/>
  <c r="P18" i="6"/>
  <c r="M18" i="6"/>
  <c r="O198" i="6"/>
  <c r="L198" i="6"/>
  <c r="O75" i="6"/>
  <c r="L75" i="6"/>
  <c r="O18" i="6"/>
  <c r="L18" i="6"/>
  <c r="P215" i="6"/>
  <c r="M215" i="6"/>
  <c r="P152" i="6"/>
  <c r="M152" i="6"/>
  <c r="P111" i="6"/>
  <c r="M111" i="6"/>
  <c r="P74" i="6"/>
  <c r="M74" i="6"/>
  <c r="O33" i="6"/>
  <c r="L33" i="6"/>
  <c r="N3" i="6"/>
  <c r="K3" i="6"/>
  <c r="P204" i="6"/>
  <c r="M204" i="6"/>
  <c r="M168" i="6"/>
  <c r="P168" i="6"/>
  <c r="L127" i="6"/>
  <c r="O127" i="6"/>
  <c r="P63" i="6"/>
  <c r="M63" i="6"/>
  <c r="P121" i="6"/>
  <c r="M121" i="6"/>
  <c r="O83" i="6"/>
  <c r="L83" i="6"/>
  <c r="O66" i="6"/>
  <c r="L66" i="6"/>
  <c r="B43" i="24" s="1"/>
  <c r="N32" i="6"/>
  <c r="K32" i="6"/>
  <c r="P213" i="6"/>
  <c r="M213" i="6"/>
  <c r="N187" i="6"/>
  <c r="K187" i="6"/>
  <c r="N150" i="6"/>
  <c r="K150" i="6"/>
  <c r="N118" i="6"/>
  <c r="K118" i="6"/>
  <c r="N86" i="6"/>
  <c r="K86" i="6"/>
  <c r="L78" i="6"/>
  <c r="O78" i="6"/>
  <c r="N70" i="6"/>
  <c r="K70" i="6"/>
  <c r="O62" i="6"/>
  <c r="L62" i="6"/>
  <c r="K22" i="6"/>
  <c r="N22" i="6"/>
  <c r="K14" i="6"/>
  <c r="N14" i="6"/>
  <c r="K6" i="6"/>
  <c r="N6" i="6"/>
  <c r="O156" i="6"/>
  <c r="L156" i="6"/>
  <c r="M134" i="6"/>
  <c r="P134" i="6"/>
  <c r="P119" i="6"/>
  <c r="M119" i="6"/>
  <c r="O109" i="6"/>
  <c r="L109" i="6"/>
  <c r="M99" i="6"/>
  <c r="P99" i="6"/>
  <c r="O91" i="6"/>
  <c r="L91" i="6"/>
  <c r="P82" i="6"/>
  <c r="M82" i="6"/>
  <c r="K73" i="6"/>
  <c r="N73" i="6"/>
  <c r="K65" i="6"/>
  <c r="N65" i="6"/>
  <c r="N56" i="6"/>
  <c r="K56" i="6"/>
  <c r="O44" i="6"/>
  <c r="L44" i="6"/>
  <c r="M38" i="6"/>
  <c r="P38" i="6"/>
  <c r="N31" i="6"/>
  <c r="K31" i="6"/>
  <c r="P22" i="6"/>
  <c r="M22" i="6"/>
  <c r="P15" i="6"/>
  <c r="M15" i="6"/>
  <c r="P9" i="6"/>
  <c r="M9" i="6"/>
  <c r="O212" i="6"/>
  <c r="L212" i="6"/>
  <c r="N202" i="6"/>
  <c r="K202" i="6"/>
  <c r="O194" i="6"/>
  <c r="L194" i="6"/>
  <c r="K185" i="6"/>
  <c r="N185" i="6"/>
  <c r="M176" i="6"/>
  <c r="P176" i="6"/>
  <c r="P166" i="6"/>
  <c r="M166" i="6"/>
  <c r="N157" i="6"/>
  <c r="K157" i="6"/>
  <c r="N149" i="6"/>
  <c r="K149" i="6"/>
  <c r="N141" i="6"/>
  <c r="K141" i="6"/>
  <c r="P133" i="6"/>
  <c r="M133" i="6"/>
  <c r="O125" i="6"/>
  <c r="L125" i="6"/>
  <c r="N117" i="6"/>
  <c r="K117" i="6"/>
  <c r="P109" i="6"/>
  <c r="M109" i="6"/>
  <c r="N101" i="6"/>
  <c r="K101" i="6"/>
  <c r="N93" i="6"/>
  <c r="K93" i="6"/>
  <c r="N85" i="6"/>
  <c r="K85" i="6"/>
  <c r="P77" i="6"/>
  <c r="M77" i="6"/>
  <c r="N69" i="6"/>
  <c r="K69" i="6"/>
  <c r="N61" i="6"/>
  <c r="K61" i="6"/>
  <c r="N53" i="6"/>
  <c r="K53" i="6"/>
  <c r="P45" i="6"/>
  <c r="M45" i="6"/>
  <c r="L37" i="6"/>
  <c r="O37" i="6"/>
  <c r="L29" i="6"/>
  <c r="O29" i="6"/>
  <c r="N21" i="6"/>
  <c r="K21" i="6"/>
  <c r="P13" i="6"/>
  <c r="M13" i="6"/>
  <c r="M5" i="6"/>
  <c r="P5" i="6"/>
  <c r="N96" i="6"/>
  <c r="K96" i="6"/>
  <c r="M50" i="6"/>
  <c r="P50" i="6"/>
  <c r="N198" i="6"/>
  <c r="K198" i="6"/>
  <c r="L144" i="6"/>
  <c r="O144" i="6"/>
  <c r="K84" i="6"/>
  <c r="N84" i="6"/>
  <c r="O26" i="6"/>
  <c r="L26" i="6"/>
  <c r="P144" i="6"/>
  <c r="M144" i="6"/>
  <c r="O122" i="6"/>
  <c r="L122" i="6"/>
  <c r="P83" i="6"/>
  <c r="M83" i="6"/>
  <c r="N40" i="6"/>
  <c r="K40" i="6"/>
  <c r="P10" i="6"/>
  <c r="M10" i="6"/>
  <c r="P188" i="6"/>
  <c r="M188" i="6"/>
  <c r="O159" i="6"/>
  <c r="L159" i="6"/>
  <c r="N111" i="6"/>
  <c r="K111" i="6"/>
  <c r="O79" i="6"/>
  <c r="L79" i="6"/>
  <c r="L136" i="6"/>
  <c r="O136" i="6"/>
  <c r="K92" i="6"/>
  <c r="N92" i="6"/>
  <c r="O58" i="6"/>
  <c r="L58" i="6"/>
  <c r="N24" i="6"/>
  <c r="K24" i="6"/>
  <c r="N177" i="6"/>
  <c r="K177" i="6"/>
  <c r="L142" i="6"/>
  <c r="O142" i="6"/>
  <c r="N110" i="6"/>
  <c r="K110" i="6"/>
  <c r="K30" i="6"/>
  <c r="N30" i="6"/>
  <c r="L152" i="6"/>
  <c r="O152" i="6"/>
  <c r="O133" i="6"/>
  <c r="L133" i="6"/>
  <c r="M118" i="6"/>
  <c r="P118" i="6"/>
  <c r="N107" i="6"/>
  <c r="K107" i="6"/>
  <c r="N99" i="6"/>
  <c r="K99" i="6"/>
  <c r="P90" i="6"/>
  <c r="M90" i="6"/>
  <c r="O82" i="6"/>
  <c r="L82" i="6"/>
  <c r="N72" i="6"/>
  <c r="K72" i="6"/>
  <c r="N64" i="6"/>
  <c r="K64" i="6"/>
  <c r="M54" i="6"/>
  <c r="P54" i="6"/>
  <c r="N44" i="6"/>
  <c r="K44" i="6"/>
  <c r="O36" i="6"/>
  <c r="L36" i="6"/>
  <c r="P30" i="6"/>
  <c r="M30" i="6"/>
  <c r="O21" i="6"/>
  <c r="L21" i="6"/>
  <c r="P14" i="6"/>
  <c r="M14" i="6"/>
  <c r="P6" i="6"/>
  <c r="M6" i="6"/>
  <c r="O2" i="6"/>
  <c r="L2" i="6"/>
  <c r="K209" i="6"/>
  <c r="N209" i="6"/>
  <c r="K201" i="6"/>
  <c r="N201" i="6"/>
  <c r="K193" i="6"/>
  <c r="N193" i="6"/>
  <c r="M184" i="6"/>
  <c r="P184" i="6"/>
  <c r="N175" i="6"/>
  <c r="K175" i="6"/>
  <c r="N165" i="6"/>
  <c r="K165" i="6"/>
  <c r="P156" i="6"/>
  <c r="M156" i="6"/>
  <c r="M148" i="6"/>
  <c r="P148" i="6"/>
  <c r="M140" i="6"/>
  <c r="P140" i="6"/>
  <c r="P132" i="6"/>
  <c r="M132" i="6"/>
  <c r="P124" i="6"/>
  <c r="M124" i="6"/>
  <c r="P116" i="6"/>
  <c r="M116" i="6"/>
  <c r="P108" i="6"/>
  <c r="M108" i="6"/>
  <c r="P100" i="6"/>
  <c r="M100" i="6"/>
  <c r="P92" i="6"/>
  <c r="M92" i="6"/>
  <c r="P84" i="6"/>
  <c r="M84" i="6"/>
  <c r="P76" i="6"/>
  <c r="M76" i="6"/>
  <c r="P68" i="6"/>
  <c r="M68" i="6"/>
  <c r="P60" i="6"/>
  <c r="M60" i="6"/>
  <c r="P52" i="6"/>
  <c r="M52" i="6"/>
  <c r="P44" i="6"/>
  <c r="M44" i="6"/>
  <c r="P36" i="6"/>
  <c r="M36" i="6"/>
  <c r="P28" i="6"/>
  <c r="M28" i="6"/>
  <c r="M20" i="6"/>
  <c r="P20" i="6"/>
  <c r="M12" i="6"/>
  <c r="P12" i="6"/>
  <c r="M4" i="6"/>
  <c r="P4" i="6"/>
  <c r="N104" i="6"/>
  <c r="K104" i="6"/>
  <c r="P42" i="6"/>
  <c r="M42" i="6"/>
  <c r="P217" i="6"/>
  <c r="M217" i="6"/>
  <c r="P122" i="6"/>
  <c r="M122" i="6"/>
  <c r="M59" i="6"/>
  <c r="P59" i="6"/>
  <c r="O11" i="6"/>
  <c r="L11" i="6"/>
  <c r="M136" i="6"/>
  <c r="P136" i="6"/>
  <c r="K140" i="6"/>
  <c r="N140" i="6"/>
  <c r="P93" i="6"/>
  <c r="M93" i="6"/>
  <c r="N48" i="6"/>
  <c r="K48" i="6"/>
  <c r="O25" i="6"/>
  <c r="L25" i="6"/>
  <c r="M196" i="6"/>
  <c r="P196" i="6"/>
  <c r="P151" i="6"/>
  <c r="M151" i="6"/>
  <c r="N119" i="6"/>
  <c r="K119" i="6"/>
  <c r="K71" i="6"/>
  <c r="N71" i="6"/>
  <c r="P174" i="6"/>
  <c r="M174" i="6"/>
  <c r="K100" i="6"/>
  <c r="N100" i="6"/>
  <c r="O74" i="6"/>
  <c r="L74" i="6"/>
  <c r="O39" i="6"/>
  <c r="L39" i="6"/>
  <c r="O203" i="6"/>
  <c r="L203" i="6"/>
  <c r="N167" i="6"/>
  <c r="K167" i="6"/>
  <c r="N134" i="6"/>
  <c r="K134" i="6"/>
  <c r="N102" i="6"/>
  <c r="K102" i="6"/>
  <c r="O46" i="6"/>
  <c r="L46" i="6"/>
  <c r="K152" i="6"/>
  <c r="N152" i="6"/>
  <c r="O132" i="6"/>
  <c r="L132" i="6"/>
  <c r="P117" i="6"/>
  <c r="M117" i="6"/>
  <c r="P106" i="6"/>
  <c r="M106" i="6"/>
  <c r="P98" i="6"/>
  <c r="M98" i="6"/>
  <c r="O90" i="6"/>
  <c r="L90" i="6"/>
  <c r="K80" i="6"/>
  <c r="N80" i="6"/>
  <c r="P70" i="6"/>
  <c r="M70" i="6"/>
  <c r="M62" i="6"/>
  <c r="P62" i="6"/>
  <c r="O52" i="6"/>
  <c r="L52" i="6"/>
  <c r="L43" i="6"/>
  <c r="O43" i="6"/>
  <c r="N36" i="6"/>
  <c r="K36" i="6"/>
  <c r="O28" i="6"/>
  <c r="L28" i="6"/>
  <c r="O20" i="6"/>
  <c r="L20" i="6"/>
  <c r="O12" i="6"/>
  <c r="L12" i="6"/>
  <c r="N5" i="6"/>
  <c r="K5" i="6"/>
  <c r="P219" i="6"/>
  <c r="M219" i="6"/>
  <c r="P208" i="6"/>
  <c r="M208" i="6"/>
  <c r="M200" i="6"/>
  <c r="P200" i="6"/>
  <c r="M192" i="6"/>
  <c r="P192" i="6"/>
  <c r="N183" i="6"/>
  <c r="K183" i="6"/>
  <c r="N173" i="6"/>
  <c r="K173" i="6"/>
  <c r="L164" i="6"/>
  <c r="O164" i="6"/>
  <c r="L155" i="6"/>
  <c r="O155" i="6"/>
  <c r="P147" i="6"/>
  <c r="M147" i="6"/>
  <c r="M139" i="6"/>
  <c r="P139" i="6"/>
  <c r="O131" i="6"/>
  <c r="L131" i="6"/>
  <c r="O123" i="6"/>
  <c r="L123" i="6"/>
  <c r="M115" i="6"/>
  <c r="P115" i="6"/>
  <c r="O107" i="6"/>
  <c r="L107" i="6"/>
  <c r="O99" i="6"/>
  <c r="L99" i="6"/>
  <c r="P91" i="6"/>
  <c r="M91" i="6"/>
  <c r="N83" i="6"/>
  <c r="K83" i="6"/>
  <c r="M75" i="6"/>
  <c r="P75" i="6"/>
  <c r="O67" i="6"/>
  <c r="L67" i="6"/>
  <c r="N59" i="6"/>
  <c r="K59" i="6"/>
  <c r="N51" i="6"/>
  <c r="K51" i="6"/>
  <c r="P43" i="6"/>
  <c r="M43" i="6"/>
  <c r="L35" i="6"/>
  <c r="O35" i="6"/>
  <c r="K27" i="6"/>
  <c r="N27" i="6"/>
  <c r="N19" i="6"/>
  <c r="K19" i="6"/>
  <c r="N11" i="6"/>
  <c r="K11" i="6"/>
  <c r="O3" i="6"/>
  <c r="L3" i="6"/>
  <c r="E55" i="6"/>
  <c r="F7" i="6"/>
  <c r="E35" i="6"/>
  <c r="E13" i="6"/>
  <c r="F9" i="6"/>
  <c r="E123" i="6"/>
  <c r="E115" i="6"/>
  <c r="F137" i="6"/>
  <c r="G105" i="6"/>
  <c r="E79" i="6"/>
  <c r="E63" i="6"/>
  <c r="F55" i="6"/>
  <c r="G47" i="6"/>
  <c r="E41" i="6"/>
  <c r="G19" i="6"/>
  <c r="G7" i="6"/>
  <c r="B15" i="54"/>
  <c r="G127" i="6"/>
  <c r="F117" i="6"/>
  <c r="F111" i="6"/>
  <c r="F101" i="6"/>
  <c r="E91" i="6"/>
  <c r="G79" i="6"/>
  <c r="F59" i="6"/>
  <c r="F95" i="6"/>
  <c r="G85" i="6"/>
  <c r="E75" i="6"/>
  <c r="G69" i="6"/>
  <c r="G173" i="6"/>
  <c r="F149" i="6"/>
  <c r="E127" i="6"/>
  <c r="E95" i="6"/>
  <c r="F63" i="6"/>
  <c r="E49" i="6"/>
  <c r="G39" i="6"/>
  <c r="E29" i="6"/>
  <c r="G25" i="6"/>
  <c r="E17" i="6"/>
  <c r="E133" i="6"/>
  <c r="G206" i="6"/>
  <c r="G165" i="6"/>
  <c r="F141" i="6"/>
  <c r="E125" i="6"/>
  <c r="F119" i="6"/>
  <c r="E109" i="6"/>
  <c r="G103" i="6"/>
  <c r="F93" i="6"/>
  <c r="G87" i="6"/>
  <c r="F77" i="6"/>
  <c r="E67" i="6"/>
  <c r="G61" i="6"/>
  <c r="F57" i="6"/>
  <c r="G51" i="6"/>
  <c r="F47" i="6"/>
  <c r="E37" i="6"/>
  <c r="E33" i="6"/>
  <c r="G27" i="6"/>
  <c r="G23" i="6"/>
  <c r="F19" i="6"/>
  <c r="F15" i="6"/>
  <c r="G203" i="6"/>
  <c r="G131" i="6"/>
  <c r="G123" i="6"/>
  <c r="G107" i="6"/>
  <c r="F103" i="6"/>
  <c r="F87" i="6"/>
  <c r="G71" i="6"/>
  <c r="F51" i="6"/>
  <c r="F27" i="6"/>
  <c r="F23" i="6"/>
  <c r="E139" i="6"/>
  <c r="E131" i="6"/>
  <c r="F113" i="6"/>
  <c r="G97" i="6"/>
  <c r="F71" i="6"/>
  <c r="F41" i="6"/>
  <c r="F31" i="6"/>
  <c r="F5" i="6"/>
  <c r="G158" i="6"/>
  <c r="E136" i="6"/>
  <c r="F124" i="6"/>
  <c r="F116" i="6"/>
  <c r="F108" i="6"/>
  <c r="F85" i="6"/>
  <c r="E77" i="6"/>
  <c r="F69" i="6"/>
  <c r="G53" i="6"/>
  <c r="F45" i="6"/>
  <c r="G29" i="6"/>
  <c r="G146" i="6"/>
  <c r="G129" i="6"/>
  <c r="F121" i="6"/>
  <c r="E113" i="6"/>
  <c r="F105" i="6"/>
  <c r="F97" i="6"/>
  <c r="G89" i="6"/>
  <c r="F81" i="6"/>
  <c r="G73" i="6"/>
  <c r="G65" i="6"/>
  <c r="F61" i="6"/>
  <c r="G37" i="6"/>
  <c r="E188" i="6"/>
  <c r="G157" i="6"/>
  <c r="F145" i="6"/>
  <c r="E135" i="6"/>
  <c r="F129" i="6"/>
  <c r="E124" i="6"/>
  <c r="E120" i="6"/>
  <c r="E116" i="6"/>
  <c r="E112" i="6"/>
  <c r="E108" i="6"/>
  <c r="F100" i="6"/>
  <c r="F92" i="6"/>
  <c r="F89" i="6"/>
  <c r="F84" i="6"/>
  <c r="E81" i="6"/>
  <c r="F76" i="6"/>
  <c r="G57" i="6"/>
  <c r="F53" i="6"/>
  <c r="F49" i="6"/>
  <c r="E45" i="6"/>
  <c r="G21" i="6"/>
  <c r="F13" i="6"/>
  <c r="G2" i="6"/>
  <c r="F205" i="6"/>
  <c r="E155" i="6"/>
  <c r="F153" i="6"/>
  <c r="E203" i="6"/>
  <c r="G201" i="6"/>
  <c r="F161" i="6"/>
  <c r="G141" i="6"/>
  <c r="F185" i="6"/>
  <c r="F177" i="6"/>
  <c r="E159" i="6"/>
  <c r="G197" i="6"/>
  <c r="G149" i="6"/>
  <c r="G138" i="6"/>
  <c r="G130" i="6"/>
  <c r="F118" i="6"/>
  <c r="F110" i="6"/>
  <c r="F102" i="6"/>
  <c r="F70" i="6"/>
  <c r="F38" i="6"/>
  <c r="F160" i="6"/>
  <c r="E144" i="6"/>
  <c r="F134" i="6"/>
  <c r="F86" i="6"/>
  <c r="F54" i="6"/>
  <c r="F30" i="6"/>
  <c r="F22" i="6"/>
  <c r="F14" i="6"/>
  <c r="F6" i="6"/>
  <c r="E205" i="6"/>
  <c r="E196" i="6"/>
  <c r="G181" i="6"/>
  <c r="F169" i="6"/>
  <c r="G153" i="6"/>
  <c r="F148" i="6"/>
  <c r="E143" i="6"/>
  <c r="G137" i="6"/>
  <c r="F130" i="6"/>
  <c r="G126" i="6"/>
  <c r="G120" i="6"/>
  <c r="G112" i="6"/>
  <c r="G104" i="6"/>
  <c r="G96" i="6"/>
  <c r="E94" i="6"/>
  <c r="G88" i="6"/>
  <c r="G80" i="6"/>
  <c r="E78" i="6"/>
  <c r="G72" i="6"/>
  <c r="G64" i="6"/>
  <c r="E62" i="6"/>
  <c r="G56" i="6"/>
  <c r="G48" i="6"/>
  <c r="E46" i="6"/>
  <c r="G40" i="6"/>
  <c r="G32" i="6"/>
  <c r="G24" i="6"/>
  <c r="G16" i="6"/>
  <c r="G8" i="6"/>
  <c r="F196" i="6"/>
  <c r="G154" i="6"/>
  <c r="G194" i="6"/>
  <c r="E180" i="6"/>
  <c r="F168" i="6"/>
  <c r="E148" i="6"/>
  <c r="G142" i="6"/>
  <c r="F126" i="6"/>
  <c r="F8" i="6"/>
  <c r="G199" i="6"/>
  <c r="G189" i="6"/>
  <c r="F176" i="6"/>
  <c r="E164" i="6"/>
  <c r="F157" i="6"/>
  <c r="E151" i="6"/>
  <c r="G145" i="6"/>
  <c r="F140" i="6"/>
  <c r="E132" i="6"/>
  <c r="F128" i="6"/>
  <c r="E2" i="6"/>
  <c r="G218" i="6"/>
  <c r="E212" i="6"/>
  <c r="F208" i="6"/>
  <c r="F201" i="6"/>
  <c r="F184" i="6"/>
  <c r="E207" i="6"/>
  <c r="E200" i="6"/>
  <c r="F192" i="6"/>
  <c r="E172" i="6"/>
  <c r="E156" i="6"/>
  <c r="F216" i="6"/>
  <c r="E216" i="6"/>
  <c r="G211" i="6"/>
  <c r="F210" i="6"/>
  <c r="G210" i="6"/>
  <c r="G214" i="6"/>
  <c r="F209" i="6"/>
  <c r="G207" i="6"/>
  <c r="E204" i="6"/>
  <c r="F202" i="6"/>
  <c r="F200" i="6"/>
  <c r="G198" i="6"/>
  <c r="E197" i="6"/>
  <c r="E195" i="6"/>
  <c r="F193" i="6"/>
  <c r="E191" i="6"/>
  <c r="F188" i="6"/>
  <c r="G185" i="6"/>
  <c r="F180" i="6"/>
  <c r="G177" i="6"/>
  <c r="F172" i="6"/>
  <c r="G169" i="6"/>
  <c r="G161" i="6"/>
  <c r="F213" i="6"/>
  <c r="E194" i="6"/>
  <c r="F190" i="6"/>
  <c r="E190" i="6"/>
  <c r="G187" i="6"/>
  <c r="F187" i="6"/>
  <c r="E186" i="6"/>
  <c r="F186" i="6"/>
  <c r="F183" i="6"/>
  <c r="G183" i="6"/>
  <c r="F182" i="6"/>
  <c r="E182" i="6"/>
  <c r="G179" i="6"/>
  <c r="F179" i="6"/>
  <c r="E178" i="6"/>
  <c r="F178" i="6"/>
  <c r="G175" i="6"/>
  <c r="F175" i="6"/>
  <c r="E174" i="6"/>
  <c r="F174" i="6"/>
  <c r="G171" i="6"/>
  <c r="F171" i="6"/>
  <c r="E170" i="6"/>
  <c r="F170" i="6"/>
  <c r="F167" i="6"/>
  <c r="G167" i="6"/>
  <c r="F166" i="6"/>
  <c r="E166" i="6"/>
  <c r="G164" i="6"/>
  <c r="G163" i="6"/>
  <c r="F163" i="6"/>
  <c r="E162" i="6"/>
  <c r="F162" i="6"/>
  <c r="F217" i="6"/>
  <c r="G209" i="6"/>
  <c r="E208" i="6"/>
  <c r="F206" i="6"/>
  <c r="F204" i="6"/>
  <c r="G202" i="6"/>
  <c r="E199" i="6"/>
  <c r="G195" i="6"/>
  <c r="G193" i="6"/>
  <c r="G191" i="6"/>
  <c r="F189" i="6"/>
  <c r="G186" i="6"/>
  <c r="E184" i="6"/>
  <c r="F181" i="6"/>
  <c r="G178" i="6"/>
  <c r="E176" i="6"/>
  <c r="F173" i="6"/>
  <c r="G170" i="6"/>
  <c r="E168" i="6"/>
  <c r="F165" i="6"/>
  <c r="G162" i="6"/>
  <c r="G159" i="6"/>
  <c r="G155" i="6"/>
  <c r="F150" i="6"/>
  <c r="F146" i="6"/>
  <c r="G143" i="6"/>
  <c r="G160" i="6"/>
  <c r="E158" i="6"/>
  <c r="E154" i="6"/>
  <c r="F151" i="6"/>
  <c r="F147" i="6"/>
  <c r="E142" i="6"/>
  <c r="F139" i="6"/>
  <c r="E138" i="6"/>
  <c r="F135" i="6"/>
  <c r="F218" i="6"/>
  <c r="E213" i="6"/>
  <c r="F219" i="6"/>
  <c r="G216" i="6"/>
  <c r="F215" i="6"/>
  <c r="E214" i="6"/>
  <c r="G212" i="6"/>
  <c r="F211" i="6"/>
  <c r="E210" i="6"/>
  <c r="E217" i="6"/>
  <c r="E219" i="6"/>
  <c r="E215" i="6"/>
  <c r="E211" i="6"/>
  <c r="N168" i="6" l="1"/>
  <c r="K168" i="6"/>
  <c r="L180" i="6"/>
  <c r="O180" i="6"/>
  <c r="O148" i="6"/>
  <c r="L148" i="6"/>
  <c r="O105" i="6"/>
  <c r="L105" i="6"/>
  <c r="P103" i="6"/>
  <c r="M103" i="6"/>
  <c r="M212" i="6"/>
  <c r="P212" i="6"/>
  <c r="P209" i="6"/>
  <c r="M209" i="6"/>
  <c r="K216" i="6"/>
  <c r="N216" i="6"/>
  <c r="P8" i="6"/>
  <c r="M8" i="6"/>
  <c r="L102" i="6"/>
  <c r="O102" i="6"/>
  <c r="P37" i="6"/>
  <c r="M37" i="6"/>
  <c r="O27" i="6"/>
  <c r="L27" i="6"/>
  <c r="M173" i="6"/>
  <c r="P173" i="6"/>
  <c r="O146" i="6"/>
  <c r="L146" i="6"/>
  <c r="P167" i="6"/>
  <c r="M167" i="6"/>
  <c r="O188" i="6"/>
  <c r="L188" i="6"/>
  <c r="N151" i="6"/>
  <c r="K151" i="6"/>
  <c r="O169" i="6"/>
  <c r="L169" i="6"/>
  <c r="K120" i="6"/>
  <c r="N120" i="6"/>
  <c r="O41" i="6"/>
  <c r="L41" i="6"/>
  <c r="O119" i="6"/>
  <c r="L119" i="6"/>
  <c r="O55" i="6"/>
  <c r="L55" i="6"/>
  <c r="O215" i="6"/>
  <c r="L215" i="6"/>
  <c r="O162" i="6"/>
  <c r="L162" i="6"/>
  <c r="L213" i="6"/>
  <c r="O213" i="6"/>
  <c r="O157" i="6"/>
  <c r="L157" i="6"/>
  <c r="P181" i="6"/>
  <c r="M181" i="6"/>
  <c r="O13" i="6"/>
  <c r="L13" i="6"/>
  <c r="P129" i="6"/>
  <c r="M129" i="6"/>
  <c r="O19" i="6"/>
  <c r="L19" i="6"/>
  <c r="N75" i="6"/>
  <c r="K75" i="6"/>
  <c r="N210" i="6"/>
  <c r="K210" i="6"/>
  <c r="O218" i="6"/>
  <c r="L218" i="6"/>
  <c r="N158" i="6"/>
  <c r="K158" i="6"/>
  <c r="L165" i="6"/>
  <c r="O165" i="6"/>
  <c r="M186" i="6"/>
  <c r="P186" i="6"/>
  <c r="L206" i="6"/>
  <c r="O206" i="6"/>
  <c r="P164" i="6"/>
  <c r="M164" i="6"/>
  <c r="M171" i="6"/>
  <c r="P171" i="6"/>
  <c r="M179" i="6"/>
  <c r="P179" i="6"/>
  <c r="M187" i="6"/>
  <c r="P187" i="6"/>
  <c r="P177" i="6"/>
  <c r="M177" i="6"/>
  <c r="P198" i="6"/>
  <c r="M198" i="6"/>
  <c r="O210" i="6"/>
  <c r="L210" i="6"/>
  <c r="N207" i="6"/>
  <c r="K207" i="6"/>
  <c r="N132" i="6"/>
  <c r="K132" i="6"/>
  <c r="P199" i="6"/>
  <c r="M199" i="6"/>
  <c r="P154" i="6"/>
  <c r="M154" i="6"/>
  <c r="P48" i="6"/>
  <c r="M48" i="6"/>
  <c r="K94" i="6"/>
  <c r="N94" i="6"/>
  <c r="K143" i="6"/>
  <c r="N143" i="6"/>
  <c r="L14" i="6"/>
  <c r="O14" i="6"/>
  <c r="O38" i="6"/>
  <c r="L38" i="6"/>
  <c r="M197" i="6"/>
  <c r="P197" i="6"/>
  <c r="O153" i="6"/>
  <c r="L153" i="6"/>
  <c r="O53" i="6"/>
  <c r="L53" i="6"/>
  <c r="N108" i="6"/>
  <c r="K108" i="6"/>
  <c r="P157" i="6"/>
  <c r="M157" i="6"/>
  <c r="O97" i="6"/>
  <c r="L97" i="6"/>
  <c r="M53" i="6"/>
  <c r="P53" i="6"/>
  <c r="P158" i="6"/>
  <c r="M158" i="6"/>
  <c r="N139" i="6"/>
  <c r="K139" i="6"/>
  <c r="M123" i="6"/>
  <c r="P123" i="6"/>
  <c r="N37" i="6"/>
  <c r="K37" i="6"/>
  <c r="O93" i="6"/>
  <c r="L93" i="6"/>
  <c r="N133" i="6"/>
  <c r="K133" i="6"/>
  <c r="N127" i="6"/>
  <c r="K127" i="6"/>
  <c r="P79" i="6"/>
  <c r="M79" i="6"/>
  <c r="P19" i="6"/>
  <c r="M19" i="6"/>
  <c r="N115" i="6"/>
  <c r="K115" i="6"/>
  <c r="M160" i="6"/>
  <c r="P160" i="6"/>
  <c r="O184" i="6"/>
  <c r="L184" i="6"/>
  <c r="K155" i="6"/>
  <c r="N155" i="6"/>
  <c r="M131" i="6"/>
  <c r="P131" i="6"/>
  <c r="N123" i="6"/>
  <c r="K123" i="6"/>
  <c r="K190" i="6"/>
  <c r="N190" i="6"/>
  <c r="P56" i="6"/>
  <c r="M56" i="6"/>
  <c r="K159" i="6"/>
  <c r="N159" i="6"/>
  <c r="O23" i="6"/>
  <c r="L23" i="6"/>
  <c r="O190" i="6"/>
  <c r="L190" i="6"/>
  <c r="L177" i="6"/>
  <c r="O177" i="6"/>
  <c r="P25" i="6"/>
  <c r="M25" i="6"/>
  <c r="N166" i="6"/>
  <c r="K166" i="6"/>
  <c r="O196" i="6"/>
  <c r="L196" i="6"/>
  <c r="N112" i="6"/>
  <c r="K112" i="6"/>
  <c r="K91" i="6"/>
  <c r="N91" i="6"/>
  <c r="L166" i="6"/>
  <c r="O166" i="6"/>
  <c r="P16" i="6"/>
  <c r="M16" i="6"/>
  <c r="K208" i="6"/>
  <c r="N208" i="6"/>
  <c r="O8" i="6"/>
  <c r="L8" i="6"/>
  <c r="P57" i="6"/>
  <c r="M57" i="6"/>
  <c r="N17" i="6"/>
  <c r="K17" i="6"/>
  <c r="P191" i="6"/>
  <c r="M191" i="6"/>
  <c r="P72" i="6"/>
  <c r="M72" i="6"/>
  <c r="O135" i="6"/>
  <c r="L135" i="6"/>
  <c r="N182" i="6"/>
  <c r="K182" i="6"/>
  <c r="O140" i="6"/>
  <c r="L140" i="6"/>
  <c r="L22" i="6"/>
  <c r="O22" i="6"/>
  <c r="O69" i="6"/>
  <c r="L69" i="6"/>
  <c r="N41" i="6"/>
  <c r="K41" i="6"/>
  <c r="P143" i="6"/>
  <c r="M143" i="6"/>
  <c r="L182" i="6"/>
  <c r="O182" i="6"/>
  <c r="O201" i="6"/>
  <c r="L201" i="6"/>
  <c r="N62" i="6"/>
  <c r="K62" i="6"/>
  <c r="O30" i="6"/>
  <c r="L30" i="6"/>
  <c r="N116" i="6"/>
  <c r="K116" i="6"/>
  <c r="O31" i="6"/>
  <c r="L31" i="6"/>
  <c r="N109" i="6"/>
  <c r="K109" i="6"/>
  <c r="O9" i="6"/>
  <c r="L9" i="6"/>
  <c r="K214" i="6"/>
  <c r="N214" i="6"/>
  <c r="M193" i="6"/>
  <c r="P193" i="6"/>
  <c r="P183" i="6"/>
  <c r="M183" i="6"/>
  <c r="K204" i="6"/>
  <c r="N204" i="6"/>
  <c r="P142" i="6"/>
  <c r="M142" i="6"/>
  <c r="L54" i="6"/>
  <c r="O54" i="6"/>
  <c r="M2" i="6"/>
  <c r="P2" i="6"/>
  <c r="O121" i="6"/>
  <c r="L121" i="6"/>
  <c r="O15" i="6"/>
  <c r="L15" i="6"/>
  <c r="M69" i="6"/>
  <c r="P69" i="6"/>
  <c r="N142" i="6"/>
  <c r="K142" i="6"/>
  <c r="M195" i="6"/>
  <c r="P195" i="6"/>
  <c r="L183" i="6"/>
  <c r="O183" i="6"/>
  <c r="K156" i="6"/>
  <c r="N156" i="6"/>
  <c r="P24" i="6"/>
  <c r="M24" i="6"/>
  <c r="P141" i="6"/>
  <c r="M141" i="6"/>
  <c r="P65" i="6"/>
  <c r="M65" i="6"/>
  <c r="P71" i="6"/>
  <c r="M71" i="6"/>
  <c r="P39" i="6"/>
  <c r="M39" i="6"/>
  <c r="N35" i="6"/>
  <c r="K35" i="6"/>
  <c r="P216" i="6"/>
  <c r="M216" i="6"/>
  <c r="O147" i="6"/>
  <c r="L147" i="6"/>
  <c r="P155" i="6"/>
  <c r="M155" i="6"/>
  <c r="P178" i="6"/>
  <c r="M178" i="6"/>
  <c r="N199" i="6"/>
  <c r="K199" i="6"/>
  <c r="K162" i="6"/>
  <c r="N162" i="6"/>
  <c r="O170" i="6"/>
  <c r="L170" i="6"/>
  <c r="O178" i="6"/>
  <c r="L178" i="6"/>
  <c r="O186" i="6"/>
  <c r="L186" i="6"/>
  <c r="P161" i="6"/>
  <c r="M161" i="6"/>
  <c r="O193" i="6"/>
  <c r="L193" i="6"/>
  <c r="O209" i="6"/>
  <c r="L209" i="6"/>
  <c r="N172" i="6"/>
  <c r="K172" i="6"/>
  <c r="M218" i="6"/>
  <c r="P218" i="6"/>
  <c r="N164" i="6"/>
  <c r="K164" i="6"/>
  <c r="L168" i="6"/>
  <c r="O168" i="6"/>
  <c r="P32" i="6"/>
  <c r="M32" i="6"/>
  <c r="N78" i="6"/>
  <c r="K78" i="6"/>
  <c r="P126" i="6"/>
  <c r="M126" i="6"/>
  <c r="N196" i="6"/>
  <c r="K196" i="6"/>
  <c r="O134" i="6"/>
  <c r="L134" i="6"/>
  <c r="M130" i="6"/>
  <c r="P130" i="6"/>
  <c r="O161" i="6"/>
  <c r="L161" i="6"/>
  <c r="P21" i="6"/>
  <c r="M21" i="6"/>
  <c r="O89" i="6"/>
  <c r="L89" i="6"/>
  <c r="O129" i="6"/>
  <c r="L129" i="6"/>
  <c r="M73" i="6"/>
  <c r="P73" i="6"/>
  <c r="P146" i="6"/>
  <c r="M146" i="6"/>
  <c r="L116" i="6"/>
  <c r="O116" i="6"/>
  <c r="P97" i="6"/>
  <c r="M97" i="6"/>
  <c r="L87" i="6"/>
  <c r="O87" i="6"/>
  <c r="P23" i="6"/>
  <c r="M23" i="6"/>
  <c r="N67" i="6"/>
  <c r="K67" i="6"/>
  <c r="O141" i="6"/>
  <c r="L141" i="6"/>
  <c r="N49" i="6"/>
  <c r="K49" i="6"/>
  <c r="P85" i="6"/>
  <c r="M85" i="6"/>
  <c r="P127" i="6"/>
  <c r="M127" i="6"/>
  <c r="K79" i="6"/>
  <c r="N79" i="6"/>
  <c r="O211" i="6"/>
  <c r="L211" i="6"/>
  <c r="L174" i="6"/>
  <c r="O174" i="6"/>
  <c r="P211" i="6"/>
  <c r="M211" i="6"/>
  <c r="O70" i="6"/>
  <c r="L70" i="6"/>
  <c r="O5" i="6"/>
  <c r="L5" i="6"/>
  <c r="L149" i="6"/>
  <c r="O149" i="6"/>
  <c r="P170" i="6"/>
  <c r="M170" i="6"/>
  <c r="P185" i="6"/>
  <c r="M185" i="6"/>
  <c r="O126" i="6"/>
  <c r="L126" i="6"/>
  <c r="P153" i="6"/>
  <c r="M153" i="6"/>
  <c r="O76" i="6"/>
  <c r="L76" i="6"/>
  <c r="N113" i="6"/>
  <c r="K113" i="6"/>
  <c r="M203" i="6"/>
  <c r="P203" i="6"/>
  <c r="P47" i="6"/>
  <c r="M47" i="6"/>
  <c r="L173" i="6"/>
  <c r="O173" i="6"/>
  <c r="O175" i="6"/>
  <c r="L175" i="6"/>
  <c r="O216" i="6"/>
  <c r="L216" i="6"/>
  <c r="P64" i="6"/>
  <c r="M64" i="6"/>
  <c r="L110" i="6"/>
  <c r="O110" i="6"/>
  <c r="K81" i="6"/>
  <c r="N81" i="6"/>
  <c r="O85" i="6"/>
  <c r="L85" i="6"/>
  <c r="O57" i="6"/>
  <c r="L57" i="6"/>
  <c r="L111" i="6"/>
  <c r="O111" i="6"/>
  <c r="L150" i="6"/>
  <c r="O150" i="6"/>
  <c r="L167" i="6"/>
  <c r="O167" i="6"/>
  <c r="N191" i="6"/>
  <c r="K191" i="6"/>
  <c r="K212" i="6"/>
  <c r="N212" i="6"/>
  <c r="P120" i="6"/>
  <c r="M120" i="6"/>
  <c r="L118" i="6"/>
  <c r="O118" i="6"/>
  <c r="N124" i="6"/>
  <c r="K124" i="6"/>
  <c r="O71" i="6"/>
  <c r="L71" i="6"/>
  <c r="N125" i="6"/>
  <c r="K125" i="6"/>
  <c r="K63" i="6"/>
  <c r="N63" i="6"/>
  <c r="K215" i="6"/>
  <c r="N215" i="6"/>
  <c r="O219" i="6"/>
  <c r="L219" i="6"/>
  <c r="P159" i="6"/>
  <c r="M159" i="6"/>
  <c r="M202" i="6"/>
  <c r="P202" i="6"/>
  <c r="N170" i="6"/>
  <c r="K170" i="6"/>
  <c r="N178" i="6"/>
  <c r="K178" i="6"/>
  <c r="N186" i="6"/>
  <c r="K186" i="6"/>
  <c r="P169" i="6"/>
  <c r="M169" i="6"/>
  <c r="N195" i="6"/>
  <c r="K195" i="6"/>
  <c r="P214" i="6"/>
  <c r="M214" i="6"/>
  <c r="O192" i="6"/>
  <c r="L192" i="6"/>
  <c r="N2" i="6"/>
  <c r="K2" i="6"/>
  <c r="L176" i="6"/>
  <c r="O176" i="6"/>
  <c r="N180" i="6"/>
  <c r="K180" i="6"/>
  <c r="P40" i="6"/>
  <c r="M40" i="6"/>
  <c r="P80" i="6"/>
  <c r="M80" i="6"/>
  <c r="O130" i="6"/>
  <c r="L130" i="6"/>
  <c r="N205" i="6"/>
  <c r="K205" i="6"/>
  <c r="K144" i="6"/>
  <c r="N144" i="6"/>
  <c r="P138" i="6"/>
  <c r="M138" i="6"/>
  <c r="P201" i="6"/>
  <c r="M201" i="6"/>
  <c r="N45" i="6"/>
  <c r="K45" i="6"/>
  <c r="O92" i="6"/>
  <c r="L92" i="6"/>
  <c r="N135" i="6"/>
  <c r="K135" i="6"/>
  <c r="O81" i="6"/>
  <c r="L81" i="6"/>
  <c r="P29" i="6"/>
  <c r="M29" i="6"/>
  <c r="O124" i="6"/>
  <c r="L124" i="6"/>
  <c r="O113" i="6"/>
  <c r="L113" i="6"/>
  <c r="L103" i="6"/>
  <c r="O103" i="6"/>
  <c r="P27" i="6"/>
  <c r="M27" i="6"/>
  <c r="O77" i="6"/>
  <c r="L77" i="6"/>
  <c r="P165" i="6"/>
  <c r="M165" i="6"/>
  <c r="O63" i="6"/>
  <c r="L63" i="6"/>
  <c r="L95" i="6"/>
  <c r="O95" i="6"/>
  <c r="P105" i="6"/>
  <c r="M105" i="6"/>
  <c r="O7" i="6"/>
  <c r="L7" i="6"/>
  <c r="O189" i="6"/>
  <c r="L189" i="6"/>
  <c r="L200" i="6"/>
  <c r="O200" i="6"/>
  <c r="P96" i="6"/>
  <c r="M96" i="6"/>
  <c r="N188" i="6"/>
  <c r="K188" i="6"/>
  <c r="L47" i="6"/>
  <c r="O47" i="6"/>
  <c r="N138" i="6"/>
  <c r="K138" i="6"/>
  <c r="N174" i="6"/>
  <c r="K174" i="6"/>
  <c r="O202" i="6"/>
  <c r="L202" i="6"/>
  <c r="P145" i="6"/>
  <c r="M145" i="6"/>
  <c r="P104" i="6"/>
  <c r="M104" i="6"/>
  <c r="L205" i="6"/>
  <c r="O205" i="6"/>
  <c r="N77" i="6"/>
  <c r="K77" i="6"/>
  <c r="M51" i="6"/>
  <c r="P51" i="6"/>
  <c r="O101" i="6"/>
  <c r="L101" i="6"/>
  <c r="O139" i="6"/>
  <c r="L139" i="6"/>
  <c r="O217" i="6"/>
  <c r="L217" i="6"/>
  <c r="N194" i="6"/>
  <c r="K194" i="6"/>
  <c r="O208" i="6"/>
  <c r="L208" i="6"/>
  <c r="P112" i="6"/>
  <c r="M112" i="6"/>
  <c r="O185" i="6"/>
  <c r="L185" i="6"/>
  <c r="O61" i="6"/>
  <c r="L61" i="6"/>
  <c r="L51" i="6"/>
  <c r="O51" i="6"/>
  <c r="N29" i="6"/>
  <c r="K29" i="6"/>
  <c r="N13" i="6"/>
  <c r="K13" i="6"/>
  <c r="N211" i="6"/>
  <c r="K211" i="6"/>
  <c r="N176" i="6"/>
  <c r="K176" i="6"/>
  <c r="P175" i="6"/>
  <c r="M175" i="6"/>
  <c r="P207" i="6"/>
  <c r="M207" i="6"/>
  <c r="N148" i="6"/>
  <c r="K148" i="6"/>
  <c r="L86" i="6"/>
  <c r="O86" i="6"/>
  <c r="O84" i="6"/>
  <c r="L84" i="6"/>
  <c r="L108" i="6"/>
  <c r="O108" i="6"/>
  <c r="P61" i="6"/>
  <c r="M61" i="6"/>
  <c r="O117" i="6"/>
  <c r="L117" i="6"/>
  <c r="N219" i="6"/>
  <c r="K219" i="6"/>
  <c r="O151" i="6"/>
  <c r="L151" i="6"/>
  <c r="O181" i="6"/>
  <c r="L181" i="6"/>
  <c r="O163" i="6"/>
  <c r="L163" i="6"/>
  <c r="K217" i="6"/>
  <c r="N217" i="6"/>
  <c r="N213" i="6"/>
  <c r="K213" i="6"/>
  <c r="N154" i="6"/>
  <c r="K154" i="6"/>
  <c r="P162" i="6"/>
  <c r="M162" i="6"/>
  <c r="N184" i="6"/>
  <c r="K184" i="6"/>
  <c r="O204" i="6"/>
  <c r="L204" i="6"/>
  <c r="M163" i="6"/>
  <c r="P163" i="6"/>
  <c r="O171" i="6"/>
  <c r="L171" i="6"/>
  <c r="L179" i="6"/>
  <c r="O179" i="6"/>
  <c r="O187" i="6"/>
  <c r="L187" i="6"/>
  <c r="O172" i="6"/>
  <c r="L172" i="6"/>
  <c r="N197" i="6"/>
  <c r="K197" i="6"/>
  <c r="P210" i="6"/>
  <c r="M210" i="6"/>
  <c r="K200" i="6"/>
  <c r="N200" i="6"/>
  <c r="O128" i="6"/>
  <c r="L128" i="6"/>
  <c r="M189" i="6"/>
  <c r="P189" i="6"/>
  <c r="M194" i="6"/>
  <c r="P194" i="6"/>
  <c r="N46" i="6"/>
  <c r="K46" i="6"/>
  <c r="P88" i="6"/>
  <c r="M88" i="6"/>
  <c r="M137" i="6"/>
  <c r="P137" i="6"/>
  <c r="O6" i="6"/>
  <c r="L6" i="6"/>
  <c r="L160" i="6"/>
  <c r="O160" i="6"/>
  <c r="P149" i="6"/>
  <c r="M149" i="6"/>
  <c r="N203" i="6"/>
  <c r="K203" i="6"/>
  <c r="O49" i="6"/>
  <c r="L49" i="6"/>
  <c r="O100" i="6"/>
  <c r="L100" i="6"/>
  <c r="O145" i="6"/>
  <c r="L145" i="6"/>
  <c r="P89" i="6"/>
  <c r="M89" i="6"/>
  <c r="L45" i="6"/>
  <c r="O45" i="6"/>
  <c r="K136" i="6"/>
  <c r="N136" i="6"/>
  <c r="K131" i="6"/>
  <c r="N131" i="6"/>
  <c r="M107" i="6"/>
  <c r="P107" i="6"/>
  <c r="N33" i="6"/>
  <c r="K33" i="6"/>
  <c r="P87" i="6"/>
  <c r="M87" i="6"/>
  <c r="P206" i="6"/>
  <c r="M206" i="6"/>
  <c r="K95" i="6"/>
  <c r="N95" i="6"/>
  <c r="O59" i="6"/>
  <c r="L59" i="6"/>
  <c r="P7" i="6"/>
  <c r="M7" i="6"/>
  <c r="O137" i="6"/>
  <c r="L137" i="6"/>
  <c r="N55" i="6"/>
  <c r="K55" i="6"/>
  <c r="AO8" i="57" l="1"/>
  <c r="AO16" i="57"/>
  <c r="AO10" i="57"/>
  <c r="AO11" i="57"/>
  <c r="AO9" i="57"/>
  <c r="AO3" i="57"/>
  <c r="AO4" i="57"/>
  <c r="AO2" i="57"/>
  <c r="AO12" i="57"/>
  <c r="AO13" i="57"/>
  <c r="AO5" i="57"/>
  <c r="AO6" i="57"/>
  <c r="AO14" i="57"/>
  <c r="AO7" i="57"/>
  <c r="AO15" i="57"/>
  <c r="AN7" i="57"/>
  <c r="AN9" i="57"/>
  <c r="AN11" i="57"/>
  <c r="AN15" i="57"/>
  <c r="AN10" i="57"/>
  <c r="AN8" i="57"/>
  <c r="AN12" i="57"/>
  <c r="AN14" i="57"/>
  <c r="AN4" i="57"/>
  <c r="AN16" i="57"/>
  <c r="AN13" i="57"/>
  <c r="AN5" i="57"/>
  <c r="AN3" i="57"/>
  <c r="AN2" i="57"/>
  <c r="AN6" i="57"/>
  <c r="U36" i="21" l="1"/>
  <c r="V36" i="21"/>
  <c r="X36" i="21"/>
  <c r="Y36" i="21"/>
  <c r="AB36" i="21" s="1"/>
  <c r="O36" i="21"/>
  <c r="W36" i="21"/>
  <c r="AA36" i="21" s="1"/>
  <c r="Z36" i="21" l="1"/>
  <c r="B85" i="2" l="1"/>
  <c r="B86" i="2" s="1"/>
  <c r="B87" i="2" s="1"/>
  <c r="B88" i="2" s="1"/>
  <c r="B89" i="2" s="1"/>
  <c r="B90" i="2" s="1"/>
  <c r="B91" i="2" s="1"/>
  <c r="B92" i="2" s="1"/>
  <c r="B93" i="2" s="1"/>
  <c r="B94" i="2" s="1"/>
  <c r="B95" i="2" s="1"/>
  <c r="B96" i="2" s="1"/>
  <c r="B97" i="2" s="1"/>
  <c r="B98" i="2" s="1"/>
  <c r="B99" i="2" s="1"/>
  <c r="B100" i="2" s="1"/>
  <c r="B101" i="2" s="1"/>
  <c r="B102" i="2" s="1"/>
  <c r="B84" i="2" l="1"/>
  <c r="B15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44776</author>
  </authors>
  <commentList>
    <comment ref="B171" authorId="0" shapeId="0" xr:uid="{0F002F1C-EA32-4ADA-B17D-BC4202E32B65}">
      <text>
        <r>
          <rPr>
            <b/>
            <sz val="9"/>
            <color indexed="81"/>
            <rFont val="Tahoma"/>
            <charset val="1"/>
          </rPr>
          <t>44776:</t>
        </r>
        <r>
          <rPr>
            <sz val="9"/>
            <color indexed="81"/>
            <rFont val="Tahoma"/>
            <charset val="1"/>
          </rPr>
          <t xml:space="preserve">
Source: Chaparro &amp; Terradas, Barcelona urban forest study. €1,115,908 / 10.98 km² ≈ €1,016/ha for Barcelona; using broader TEEB urban estimates of €15,952/ha/yr for urban green space air quality. Baró et al. (2014), Ambio 43: 466-479.</t>
        </r>
      </text>
    </comment>
    <comment ref="F171" authorId="0" shapeId="0" xr:uid="{F1703D93-CB2C-4020-9CFB-F63435DDB38E}">
      <text>
        <r>
          <rPr>
            <b/>
            <sz val="9"/>
            <color indexed="81"/>
            <rFont val="Tahoma"/>
            <charset val="1"/>
          </rPr>
          <t>44776:</t>
        </r>
        <r>
          <rPr>
            <sz val="9"/>
            <color indexed="81"/>
            <rFont val="Tahoma"/>
            <charset val="1"/>
          </rPr>
          <t xml:space="preserve">
Baró et al. 2014. Contribution of ecosystem services to air quality and climate change mitigation policies: Barcelona urban forest. Ambio 43:466-479.</t>
        </r>
      </text>
    </comment>
    <comment ref="B172" authorId="0" shapeId="0" xr:uid="{CCBB0CBA-CB93-4B7D-9218-C4083EFDB0EB}">
      <text>
        <r>
          <rPr>
            <b/>
            <sz val="9"/>
            <color indexed="81"/>
            <rFont val="Tahoma"/>
            <charset val="1"/>
          </rPr>
          <t>44776:</t>
        </r>
        <r>
          <rPr>
            <sz val="9"/>
            <color indexed="81"/>
            <rFont val="Tahoma"/>
            <charset val="1"/>
          </rPr>
          <t xml:space="preserve">
Source: Italian urban park study - 500 kg carbon/ha/yr for urban park (Turin). Monetised at social cost of carbon. ACS Environ. Sci. Technol. 2021.</t>
        </r>
      </text>
    </comment>
    <comment ref="F172" authorId="0" shapeId="0" xr:uid="{0D3495D4-1D7A-4531-ADD5-9DA42A6EF4DF}">
      <text>
        <r>
          <rPr>
            <b/>
            <sz val="9"/>
            <color indexed="81"/>
            <rFont val="Tahoma"/>
            <charset val="1"/>
          </rPr>
          <t>44776:</t>
        </r>
        <r>
          <rPr>
            <sz val="9"/>
            <color indexed="81"/>
            <rFont val="Tahoma"/>
            <charset val="1"/>
          </rPr>
          <t xml:space="preserve">
ACS Environ. Sci. Technol. 2021. Testing Removal of CO2, O3, PM by Urban Parks in Italy.</t>
        </r>
      </text>
    </comment>
    <comment ref="B173" authorId="0" shapeId="0" xr:uid="{6D07AFFB-E9C4-4962-8D52-FDBC878B3094}">
      <text>
        <r>
          <rPr>
            <b/>
            <sz val="9"/>
            <color indexed="81"/>
            <rFont val="Tahoma"/>
            <charset val="1"/>
          </rPr>
          <t>44776:</t>
        </r>
        <r>
          <rPr>
            <sz val="9"/>
            <color indexed="81"/>
            <rFont val="Tahoma"/>
            <charset val="1"/>
          </rPr>
          <t xml:space="preserve">
Source: EU ETS carbon price ~€80-100/tCO2e. Using €100/tCO2 = €0.1/kgCO2. CO2 = C × 3.67.</t>
        </r>
      </text>
    </comment>
    <comment ref="B174" authorId="0" shapeId="0" xr:uid="{E1A96C95-44E2-4418-BB7E-9A744A3D1A6D}">
      <text>
        <r>
          <rPr>
            <b/>
            <sz val="9"/>
            <color indexed="81"/>
            <rFont val="Tahoma"/>
            <charset val="1"/>
          </rPr>
          <t>44776:</t>
        </r>
        <r>
          <rPr>
            <sz val="9"/>
            <color indexed="81"/>
            <rFont val="Tahoma"/>
            <charset val="1"/>
          </rPr>
          <t xml:space="preserve">
Source: TEEB urban habitat services. Barcelona inner-city has very low green space (6.8 m²/capita vs 14 m² EU avg). 800 species in 0.07 ha represents exceptionally high biodiversity density. Baró et al. (2014).</t>
        </r>
      </text>
    </comment>
    <comment ref="B175" authorId="0" shapeId="0" xr:uid="{4274A462-ABAB-464C-8B6A-41F4DC794F38}">
      <text>
        <r>
          <rPr>
            <b/>
            <sz val="9"/>
            <color indexed="81"/>
            <rFont val="Tahoma"/>
            <charset val="1"/>
          </rPr>
          <t>44776:</t>
        </r>
        <r>
          <rPr>
            <sz val="9"/>
            <color indexed="81"/>
            <rFont val="Tahoma"/>
            <charset val="1"/>
          </rPr>
          <t xml:space="preserve">
Source: Birmingham urban woodland noise mitigation study (MDPI Sustainability 2022, doi:10.3390/su14127079): GBP 887/ha/yr (~€1,030/ha) for woodland near roads. El Raval context: one of Barcelona's noisiest barrios — bordered by La Rambla, heavy traffic on Avinguda del Paral·lel, and dense nightlife (Carrer Joaquín Costa, Plaça dels Àngels). Green spaces in noisy districts provide 'acoustic refuge' — a psychologically restorative soundscape break. The €1,000/ha transfer is conservative: Birmingham study valued woodland buffers along roads, while Àgora's 0.07 ha courtyard space is enclosed (higher shielding) but smaller than typical woodland plots. Net: comparable order of magnitude. Retiro Park (Madrid) soundscape study found WTP of €6.36/visitor for noise reduction programmes (Iglesias-Merchan &amp; Díaz-Balteiro 2017).</t>
        </r>
      </text>
    </comment>
    <comment ref="B176" authorId="0" shapeId="0" xr:uid="{90F1E87C-55C8-4059-B6B5-5117F8F0616B}">
      <text>
        <r>
          <rPr>
            <b/>
            <sz val="9"/>
            <color indexed="81"/>
            <rFont val="Tahoma"/>
            <charset val="1"/>
          </rPr>
          <t>44776:</t>
        </r>
        <r>
          <rPr>
            <sz val="9"/>
            <color indexed="81"/>
            <rFont val="Tahoma"/>
            <charset val="1"/>
          </rPr>
          <t xml:space="preserve">
Source: TEEB 2010 — global insect pollination value estimated at €153 billion/yr. Urban community gardens are documented pollinator hotspots (Baldock et al. 2019, Nature Ecology &amp; Evolution). Àgora's 800 plant species on 0.07 ha = exceptionally high botanical density (~11,400 species/ha equivalent), providing floral resources for wild bees, hoverflies, and butterflies year-round in Barcelona's Mediterranean climate. El Raval has almost no other green space (neighbouring Sant Antoni has only 0.87 m²/capita). This makes Àgora a critical 'stepping stone' habitat for urban pollinators in Barcelona's densest district. €2,000/ha is conservative: de Groot et al. (2012) estimated median pollination value for cultivated land at $2,913/ha/yr; urban gardens with high floral diversity likely exceed this. Transfer adjusted downward given Àgora's very small area (edge effects limit foraging range).</t>
        </r>
      </text>
    </comment>
    <comment ref="B180" authorId="0" shapeId="0" xr:uid="{8BBC9011-E71E-4A1C-89AC-F81FD186307D}">
      <text>
        <r>
          <rPr>
            <b/>
            <sz val="9"/>
            <color indexed="81"/>
            <rFont val="Tahoma"/>
            <charset val="1"/>
          </rPr>
          <t>UHI (B173) excluded — double-counts with microclimate regulation (B177). Recreation WTP excluded — double-counts with Impact 2a (Social Connectedness), 4a (Cultural Events).</t>
        </r>
      </text>
    </comment>
    <comment ref="B189" authorId="0" shapeId="0" xr:uid="{0BF6CBAD-F6AA-42B5-86CD-8C5DB5095521}">
      <text>
        <r>
          <rPr>
            <b/>
            <sz val="9"/>
            <color indexed="81"/>
            <rFont val="Tahoma"/>
            <charset val="1"/>
          </rPr>
          <t>44776:</t>
        </r>
        <r>
          <rPr>
            <sz val="9"/>
            <color indexed="81"/>
            <rFont val="Tahoma"/>
            <charset val="1"/>
          </rPr>
          <t xml:space="preserve">
Assumed ~300 operating days/year (excluding major holidays, closures)</t>
        </r>
      </text>
    </comment>
    <comment ref="B193" authorId="0" shapeId="0" xr:uid="{D535C093-0B6D-4D49-B909-C982A7E5222D}">
      <text>
        <r>
          <rPr>
            <b/>
            <sz val="9"/>
            <color indexed="81"/>
            <rFont val="Tahoma"/>
            <charset val="1"/>
          </rPr>
          <t>From conversations with Àgora. Of 60 daily users, ~20 come nearly every day (5+ times/week). These are the core community — people who would otherwise experience significant loneliness.</t>
        </r>
      </text>
    </comment>
    <comment ref="B194" authorId="0" shapeId="0" xr:uid="{DDB350EF-AEE7-4DC8-A037-AB62D58FA7DB}">
      <text>
        <r>
          <rPr>
            <b/>
            <sz val="9"/>
            <color indexed="81"/>
            <rFont val="Tahoma"/>
            <charset val="1"/>
          </rPr>
          <t>44776:</t>
        </r>
        <r>
          <rPr>
            <sz val="9"/>
            <color indexed="81"/>
            <rFont val="Tahoma"/>
            <charset val="1"/>
          </rPr>
          <t xml:space="preserve">
Source: Engel et al. (2025), Value in Health. QALY utility decrement for loneliness = 0.061 (p&lt;0.001). Based on 53,108 observations from HILDA survey (Australia). EQ-5D-5L instrument. This is a direct measure of loneliness impact on health utility — not a proxy via anxiety.
https://doi.org/10.1016/j.jval.2025.S1098-3015(25)05657-8</t>
        </r>
      </text>
    </comment>
    <comment ref="B195" authorId="0" shapeId="0" xr:uid="{B0B43F67-2441-4E2F-8401-9D5309697D8C}">
      <text>
        <r>
          <rPr>
            <b/>
            <sz val="9"/>
            <color indexed="81"/>
            <rFont val="Tahoma"/>
            <charset val="1"/>
          </rPr>
          <t>44776:</t>
        </r>
        <r>
          <rPr>
            <sz val="9"/>
            <color indexed="81"/>
            <rFont val="Tahoma"/>
            <charset val="1"/>
          </rPr>
          <t xml:space="preserve">
From conversations with Àgora. Of 60 daily users, ~40 come 1-2 times/week. They rotate through — semi-regular contact that prevents full social isolation.</t>
        </r>
      </text>
    </comment>
    <comment ref="F195" authorId="0" shapeId="0" xr:uid="{D905032E-1B0A-4210-8467-EE84ED1960F3}">
      <text>
        <r>
          <rPr>
            <b/>
            <sz val="9"/>
            <color indexed="81"/>
            <rFont val="Tahoma"/>
            <charset val="1"/>
          </rPr>
          <t>44776:</t>
        </r>
        <r>
          <rPr>
            <sz val="9"/>
            <color indexed="81"/>
            <rFont val="Tahoma"/>
            <charset val="1"/>
          </rPr>
          <t xml:space="preserve">
GBD 2019 Disability Weights. Mild anxiety DW = 0.030 (95% UI: 0.018-0.046).</t>
        </r>
      </text>
    </comment>
    <comment ref="B196" authorId="0" shapeId="0" xr:uid="{97EBF511-A21D-472B-BD77-FBB43F748823}">
      <text>
        <r>
          <rPr>
            <b/>
            <sz val="9"/>
            <color indexed="81"/>
            <rFont val="Tahoma"/>
            <charset val="1"/>
          </rPr>
          <t>Source: Engel et al. (2025), Value in Health. QALY utility decrement for social isolation = 0.020 (p&lt;0.001). Same study as Tier 1. Social isolation has a smaller but significant effect on health utility.
https://doi.org/10.1016/j.jval.2025.S1098-3015(25)05657-8</t>
        </r>
      </text>
    </comment>
    <comment ref="B197" authorId="0" shapeId="0" xr:uid="{69824B5D-0721-413D-8FCF-28E03C0D5544}">
      <text>
        <r>
          <rPr>
            <b/>
            <sz val="9"/>
            <color indexed="81"/>
            <rFont val="Tahoma"/>
            <charset val="1"/>
          </rPr>
          <t>Source: eQALY methodology - standard DALY value used in Valuing Impact template</t>
        </r>
      </text>
    </comment>
    <comment ref="F210" authorId="0" shapeId="0" xr:uid="{B0500F74-659E-44E6-A35B-3D25D0443E7E}">
      <text>
        <r>
          <rPr>
            <b/>
            <sz val="9"/>
            <color indexed="81"/>
            <rFont val="Tahoma"/>
            <charset val="1"/>
          </rPr>
          <t>44776:</t>
        </r>
        <r>
          <rPr>
            <sz val="9"/>
            <color indexed="81"/>
            <rFont val="Tahoma"/>
            <charset val="1"/>
          </rPr>
          <t xml:space="preserve">
Oppla: Urban gardens in Barcelona — multifunctional green to enhance Nature-Based Thinking in cities.</t>
        </r>
      </text>
    </comment>
    <comment ref="F224" authorId="0" shapeId="0" xr:uid="{1AB6E6FE-7166-4760-ABED-D3AED38A8473}">
      <text>
        <r>
          <rPr>
            <b/>
            <sz val="9"/>
            <color indexed="81"/>
            <rFont val="Tahoma"/>
            <charset val="1"/>
          </rPr>
          <t>44776:</t>
        </r>
        <r>
          <rPr>
            <sz val="9"/>
            <color indexed="81"/>
            <rFont val="Tahoma"/>
            <charset val="1"/>
          </rPr>
          <t xml:space="preserve">
Ramadan 2026: began evening of 17 Feb, ends evening of 18 Mar (29-30 days). Islamic Relief Worldwide.</t>
        </r>
      </text>
    </comment>
    <comment ref="F229" authorId="0" shapeId="0" xr:uid="{9518B303-7E75-488E-9874-42BB3346A1E4}">
      <text>
        <r>
          <rPr>
            <b/>
            <sz val="9"/>
            <color indexed="81"/>
            <rFont val="Tahoma"/>
            <charset val="1"/>
          </rPr>
          <t>44776:</t>
        </r>
        <r>
          <rPr>
            <sz val="9"/>
            <color indexed="81"/>
            <rFont val="Tahoma"/>
            <charset val="1"/>
          </rPr>
          <t xml:space="preserve">
GBD 2019. Moderate protein-energy malnutrition DW = 0.051.</t>
        </r>
      </text>
    </comment>
    <comment ref="B237" authorId="0" shapeId="0" xr:uid="{4A3B2C17-1EA5-4D37-80EC-13FF56373E3A}">
      <text>
        <r>
          <rPr>
            <b/>
            <sz val="9"/>
            <color indexed="81"/>
            <rFont val="Tahoma"/>
            <charset val="1"/>
          </rPr>
          <t>44776:</t>
        </r>
        <r>
          <rPr>
            <sz val="9"/>
            <color indexed="81"/>
            <rFont val="Tahoma"/>
            <charset val="1"/>
          </rPr>
          <t xml:space="preserve">
Estimated: ~100 meals/week served. Assuming mix of regulars (2-3 meals/week) and occasional users. ~50 core regulars + ~25 semi-regular = ~75 unique individuals receiving nutritional support sufficient to affect health outcomes. From conversations with Àgora.</t>
        </r>
      </text>
    </comment>
    <comment ref="B238" authorId="0" shapeId="0" xr:uid="{0470D5FA-FEA6-4D11-9612-8CCE1256D55A}">
      <text>
        <r>
          <rPr>
            <b/>
            <sz val="9"/>
            <color indexed="81"/>
            <rFont val="Tahoma"/>
            <charset val="1"/>
          </rPr>
          <t>44776:</t>
        </r>
        <r>
          <rPr>
            <sz val="9"/>
            <color indexed="81"/>
            <rFont val="Tahoma"/>
            <charset val="1"/>
          </rPr>
          <t xml:space="preserve">
Source: US CDC/MEPS data (Berkowitz et al. 2019) found food-insecure adults have $1,834/yr higher healthcare costs than food-secure adults. Transfer to Spain: Spanish public healthcare unit costs are ~35-40% of US levels (OECD Health Statistics). $1,834 × 0.38 ≈ $700 ≈ €700. Captures avoided GP visits, ED presentations, hospitalisations for malnutrition-related conditions (anaemia, weakened immunity, chronic disease exacerbation). Conservative: excludes mental health costs (captured separately in DALY line).
https://www.cdc.gov/pcd/issues/2019/18_0549.htm</t>
        </r>
      </text>
    </comment>
    <comment ref="B251" authorId="0" shapeId="0" xr:uid="{D9D63908-E133-4CF9-B20B-EC0FC22A4CEA}">
      <text>
        <r>
          <rPr>
            <b/>
            <sz val="9"/>
            <color indexed="81"/>
            <rFont val="Tahoma"/>
            <charset val="1"/>
          </rPr>
          <t>44776:</t>
        </r>
        <r>
          <rPr>
            <sz val="9"/>
            <color indexed="81"/>
            <rFont val="Tahoma"/>
            <charset val="1"/>
          </rPr>
          <t xml:space="preserve">
Estimated prep + cooking + serving + clean-up: ~4 hours per session. From conversations with Àgora representatives.</t>
        </r>
      </text>
    </comment>
    <comment ref="B252" authorId="0" shapeId="0" xr:uid="{30DAD325-D1E4-42A1-A46B-C650C62EAB19}">
      <text>
        <r>
          <rPr>
            <b/>
            <sz val="9"/>
            <color indexed="81"/>
            <rFont val="Tahoma"/>
            <charset val="1"/>
          </rPr>
          <t>44776:</t>
        </r>
        <r>
          <rPr>
            <sz val="9"/>
            <color indexed="81"/>
            <rFont val="Tahoma"/>
            <charset val="1"/>
          </rPr>
          <t xml:space="preserve">
52 weekly free-meal sessions + 30 Ramadan daily sessions = 82 sessions/year</t>
        </r>
      </text>
    </comment>
    <comment ref="B253" authorId="0" shapeId="0" xr:uid="{F81DD656-1493-42DD-86C7-C0549AA2B004}">
      <text>
        <r>
          <rPr>
            <b/>
            <sz val="9"/>
            <color indexed="81"/>
            <rFont val="Tahoma"/>
            <charset val="1"/>
          </rPr>
          <t>44776:</t>
        </r>
        <r>
          <rPr>
            <sz val="9"/>
            <color indexed="81"/>
            <rFont val="Tahoma"/>
            <charset val="1"/>
          </rPr>
          <t xml:space="preserve">
Source: Spain minimum wage 2025: ~€7.40/hr. Kitchen/food service roles in Barcelona: €9-12/hr. Using €10/hr as representative rate for basic food service work. INE / Convenio colectivo hostelería Barcelona.</t>
        </r>
      </text>
    </comment>
    <comment ref="B260" authorId="0" shapeId="0" xr:uid="{B7D41258-8756-4891-B662-52CB42E04FEF}">
      <text>
        <r>
          <rPr>
            <b/>
            <sz val="9"/>
            <color indexed="81"/>
            <rFont val="Tahoma"/>
            <charset val="1"/>
          </rPr>
          <t>44776:</t>
        </r>
        <r>
          <rPr>
            <sz val="9"/>
            <color indexed="81"/>
            <rFont val="Tahoma"/>
            <charset val="1"/>
          </rPr>
          <t xml:space="preserve">
100 meals/day but some are regulars, some rotate. Estimate ~150 unique people over the 30-day period.</t>
        </r>
      </text>
    </comment>
    <comment ref="B264" authorId="0" shapeId="0" xr:uid="{1A957E2F-1C3B-4F4B-BA36-8C056C4148C2}">
      <text>
        <r>
          <rPr>
            <b/>
            <sz val="9"/>
            <color indexed="81"/>
            <rFont val="Tahoma"/>
            <charset val="1"/>
          </rPr>
          <t>Source: GBD 2019 Disability Weights. Mild major depressive disorder DW = 0.145 (95% UI: 0.099-0.209). Used as proxy for wellbeing uplift from communal iftar participation reducing depression/isolation among vulnerable migrants during Ramadan.
https://ghdx.healthdata.org/record/ihme-data/gbd-2019-disability-weights</t>
        </r>
      </text>
    </comment>
    <comment ref="F264" authorId="0" shapeId="0" xr:uid="{C58EA8A3-F5FB-410A-BF7A-0343471A9F9E}">
      <text>
        <r>
          <rPr>
            <b/>
            <sz val="9"/>
            <color indexed="81"/>
            <rFont val="Tahoma"/>
            <charset val="1"/>
          </rPr>
          <t>44776:</t>
        </r>
        <r>
          <rPr>
            <sz val="9"/>
            <color indexed="81"/>
            <rFont val="Tahoma"/>
            <charset val="1"/>
          </rPr>
          <t xml:space="preserve">
GBD 2019. Mild MDD DW = 0.145 (95% UI: 0.099-0.209).</t>
        </r>
      </text>
    </comment>
    <comment ref="B265" authorId="0" shapeId="0" xr:uid="{33D18895-2648-47E7-B9A9-4E32FF92FDC9}">
      <text>
        <r>
          <rPr>
            <b/>
            <sz val="9"/>
            <color indexed="81"/>
            <rFont val="Tahoma"/>
            <charset val="1"/>
          </rPr>
          <t>44776:</t>
        </r>
        <r>
          <rPr>
            <sz val="9"/>
            <color indexed="81"/>
            <rFont val="Tahoma"/>
            <charset val="1"/>
          </rPr>
          <t xml:space="preserve">
30 days / 365 = 0.082. Ramadan 2026: Feb 17 – Mar 18 (30 days).
https://islamic-relief.org/giving/islamic-giving/ramadan/ramadan-timetable/</t>
        </r>
      </text>
    </comment>
    <comment ref="B277" authorId="0" shapeId="0" xr:uid="{D58D5244-C55C-4907-AD62-BE38F0BD08A0}">
      <text>
        <r>
          <rPr>
            <b/>
            <sz val="9"/>
            <color indexed="81"/>
            <rFont val="Tahoma"/>
            <charset val="1"/>
          </rPr>
          <t>44776:</t>
        </r>
        <r>
          <rPr>
            <sz val="9"/>
            <color indexed="81"/>
            <rFont val="Tahoma"/>
            <charset val="1"/>
          </rPr>
          <t xml:space="preserve">
Source: Contingent valuation of cultural events in Spain. Proxy: ticket price for comparable community literary events in Barcelona (€8-15). Conservative WTP = €12/attendance. Also reflects social value of intercultural exchange in a diverse neighbourhood. Informed by HACT values for 'attending arts/cultural events'.</t>
        </r>
      </text>
    </comment>
    <comment ref="B284" authorId="0" shapeId="0" xr:uid="{C1D3B8C7-5535-4224-97F2-398226B18743}">
      <text>
        <r>
          <rPr>
            <b/>
            <sz val="9"/>
            <color indexed="81"/>
            <rFont val="Tahoma"/>
            <charset val="1"/>
          </rPr>
          <t>44776:</t>
        </r>
        <r>
          <rPr>
            <sz val="9"/>
            <color indexed="81"/>
            <rFont val="Tahoma"/>
            <charset val="1"/>
          </rPr>
          <t xml:space="preserve">
Source: Community space rental cost in Barcelona (Ciutat Vella district). Small community rooms: €100-300/session. Using €200 as mid-point for a half-day community space use.</t>
        </r>
      </text>
    </comment>
    <comment ref="B285" authorId="0" shapeId="0" xr:uid="{28DE702C-E7CC-4CCA-B8D6-DB397CF9038F}">
      <text>
        <r>
          <rPr>
            <b/>
            <sz val="9"/>
            <color indexed="81"/>
            <rFont val="Tahoma"/>
            <charset val="1"/>
          </rPr>
          <t>44776:</t>
        </r>
        <r>
          <rPr>
            <sz val="9"/>
            <color indexed="81"/>
            <rFont val="Tahoma"/>
            <charset val="1"/>
          </rPr>
          <t xml:space="preserve">
Assumption: each collective uses the space ~6 times per year (approx. bimonthly)</t>
        </r>
      </text>
    </comment>
    <comment ref="B299" authorId="0" shapeId="0" xr:uid="{E692783E-8046-4370-B4A4-84B31676E792}">
      <text>
        <r>
          <rPr>
            <b/>
            <sz val="9"/>
            <color indexed="81"/>
            <rFont val="Tahoma"/>
            <charset val="1"/>
          </rPr>
          <t>44776:</t>
        </r>
        <r>
          <rPr>
            <sz val="9"/>
            <color indexed="81"/>
            <rFont val="Tahoma"/>
            <charset val="1"/>
          </rPr>
          <t xml:space="preserve">
Source: Immigration legal consultation in Barcelona: €200-800 depending on complexity. Consular replacement passport fees vary by country (€30-150). Total avoided professional cost estimated at €500/person including time, travel, admin. Balcells Group Barcelona immigration legal fees guide.</t>
        </r>
      </text>
    </comment>
    <comment ref="B300" authorId="0" shapeId="0" xr:uid="{5F0450D3-B9C9-4C11-B0AF-669C50965997}">
      <text>
        <r>
          <rPr>
            <b/>
            <sz val="9"/>
            <color indexed="81"/>
            <rFont val="Tahoma"/>
            <charset val="1"/>
          </rPr>
          <t>Source: GBD 2019 Disability Weights. Moderate anxiety disorder DW = 0.133 (95% UI: 0.091-0.186). Used as proxy for anxiety/distress of being undocumented or unable to prove identity — blocks employment, housing, banking, healthcare.
https://ghdx.healthdata.org/record/ihme-data/gbd-2019-disability-weights</t>
        </r>
      </text>
    </comment>
    <comment ref="F300" authorId="0" shapeId="0" xr:uid="{7D8A27CA-C577-4884-8A01-148686E40976}">
      <text>
        <r>
          <rPr>
            <b/>
            <sz val="9"/>
            <color indexed="81"/>
            <rFont val="Tahoma"/>
            <charset val="1"/>
          </rPr>
          <t>44776:</t>
        </r>
        <r>
          <rPr>
            <sz val="9"/>
            <color indexed="81"/>
            <rFont val="Tahoma"/>
            <charset val="1"/>
          </rPr>
          <t xml:space="preserve">
GBD 2019. Moderate anxiety DW = 0.133 (95% UI: 0.091-0.186).</t>
        </r>
      </text>
    </comment>
    <comment ref="B301" authorId="0" shapeId="0" xr:uid="{4B5BEAB1-B4D2-4176-B2CB-21306F489213}">
      <text>
        <r>
          <rPr>
            <b/>
            <sz val="9"/>
            <color indexed="81"/>
            <rFont val="Tahoma"/>
            <charset val="1"/>
          </rPr>
          <t>44776:</t>
        </r>
        <r>
          <rPr>
            <sz val="9"/>
            <color indexed="81"/>
            <rFont val="Tahoma"/>
            <charset val="1"/>
          </rPr>
          <t xml:space="preserve">
Assumption: passport resolution takes ~6 months; person benefits from reduced anxiety for remaining ~6 months of year (0.5 year fraction). Conservative.</t>
        </r>
      </text>
    </comment>
    <comment ref="B312" authorId="0" shapeId="0" xr:uid="{D829979F-1B2A-4507-BE51-18EB105AD7EB}">
      <text>
        <r>
          <rPr>
            <b/>
            <sz val="9"/>
            <color indexed="81"/>
            <rFont val="Tahoma"/>
            <charset val="1"/>
          </rPr>
          <t>44776:</t>
        </r>
        <r>
          <rPr>
            <sz val="9"/>
            <color indexed="81"/>
            <rFont val="Tahoma"/>
            <charset val="1"/>
          </rPr>
          <t xml:space="preserve">
Estimated: €10,000 budget / ~€400 per case (legal consultation + family support per incident)</t>
        </r>
      </text>
    </comment>
    <comment ref="B313" authorId="0" shapeId="0" xr:uid="{69DDE27A-F089-43E8-B835-BD4FE2EAC577}">
      <text>
        <r>
          <rPr>
            <b/>
            <sz val="9"/>
            <color indexed="81"/>
            <rFont val="Tahoma"/>
            <charset val="1"/>
          </rPr>
          <t>44776:</t>
        </r>
        <r>
          <rPr>
            <sz val="9"/>
            <color indexed="81"/>
            <rFont val="Tahoma"/>
            <charset val="1"/>
          </rPr>
          <t xml:space="preserve">
Source: Private criminal/family lawyer consultation in Spain: €500-1,200/case. Using €800 as mid-point for basic legal representation.</t>
        </r>
      </text>
    </comment>
    <comment ref="B314" authorId="0" shapeId="0" xr:uid="{DC45AC9C-6CD5-4D5C-A6AE-6AA3DA287FCF}">
      <text>
        <r>
          <rPr>
            <b/>
            <sz val="9"/>
            <color indexed="81"/>
            <rFont val="Tahoma"/>
            <charset val="1"/>
          </rPr>
          <t>Source: GBD 2019 Disability Weights. Moderate anxiety disorder DW = 0.133 (95% UI: 0.091-0.186). Proxy for anxiety/trauma of arrest, criminal proceedings, family separation for sex workers. Moderate (not severe) is conservative given compounding vulnerabilities.
https://ghdx.healthdata.org/record/ihme-data/gbd-2019-disability-weights</t>
        </r>
      </text>
    </comment>
    <comment ref="F314" authorId="0" shapeId="0" xr:uid="{7994E905-62B3-4965-942E-0C5CD896B27A}">
      <text>
        <r>
          <rPr>
            <b/>
            <sz val="9"/>
            <color indexed="81"/>
            <rFont val="Tahoma"/>
            <charset val="1"/>
          </rPr>
          <t>44776:</t>
        </r>
        <r>
          <rPr>
            <sz val="9"/>
            <color indexed="81"/>
            <rFont val="Tahoma"/>
            <charset val="1"/>
          </rPr>
          <t xml:space="preserve">
GBD 2019. Moderate anxiety DW = 0.133.</t>
        </r>
      </text>
    </comment>
    <comment ref="B316" authorId="0" shapeId="0" xr:uid="{CABCB736-3F24-49FE-BEB2-081FFF684810}">
      <text>
        <r>
          <rPr>
            <b/>
            <sz val="9"/>
            <color indexed="81"/>
            <rFont val="Tahoma"/>
            <charset val="1"/>
          </rPr>
          <t>44776:</t>
        </r>
        <r>
          <rPr>
            <sz val="9"/>
            <color indexed="81"/>
            <rFont val="Tahoma"/>
            <charset val="1"/>
          </rPr>
          <t xml:space="preserve">
Assumption: legal support resolves or substantially mitigates anxiety for ~6 months post-intervention</t>
        </r>
      </text>
    </comment>
    <comment ref="B330" authorId="0" shapeId="0" xr:uid="{16181B50-4A5A-49FA-B88D-0AD8D31C7521}">
      <text>
        <r>
          <rPr>
            <b/>
            <sz val="9"/>
            <color indexed="81"/>
            <rFont val="Tahoma"/>
            <charset val="1"/>
          </rPr>
          <t>44776:</t>
        </r>
        <r>
          <rPr>
            <sz val="9"/>
            <color indexed="81"/>
            <rFont val="Tahoma"/>
            <charset val="1"/>
          </rPr>
          <t xml:space="preserve">
Assumption: typical municipal fines in El Raval range €100-400. Using €200 average.</t>
        </r>
      </text>
    </comment>
    <comment ref="B332" authorId="0" shapeId="0" xr:uid="{8F16D4B7-3991-4FF2-B432-55623C02A216}">
      <text>
        <r>
          <rPr>
            <b/>
            <sz val="9"/>
            <color indexed="81"/>
            <rFont val="Tahoma"/>
            <charset val="1"/>
          </rPr>
          <t>44776:</t>
        </r>
        <r>
          <rPr>
            <sz val="9"/>
            <color indexed="81"/>
            <rFont val="Tahoma"/>
            <charset val="1"/>
          </rPr>
          <t xml:space="preserve">
Source: Spanish municipal fines typically double after the voluntary payment period (20 days). 50% surcharge is the escalation rate for unpaid fines. If fine goes to enforcement (vía ejecutiva), surcharges of 10-20% plus interest apply.</t>
        </r>
      </text>
    </comment>
    <comment ref="B333" authorId="0" shapeId="0" xr:uid="{392B17B1-F302-4E62-AADE-BAFF5A043A30}">
      <text>
        <r>
          <rPr>
            <b/>
            <sz val="9"/>
            <color indexed="81"/>
            <rFont val="Tahoma"/>
            <charset val="1"/>
          </rPr>
          <t>Source: GBD 2019 Disability Weights. Mild anxiety disorder DW = 0.030 (95% UI: 0.018-0.046). Proxy for low-level persistent stress of unpaid fines — risk of escalation, immigration complications. Mild (not moderate) because fines are a contributor to broader anxiety, not sole cause.
https://ghdx.healthdata.org/record/ihme-data/gbd-2019-disability-weights</t>
        </r>
      </text>
    </comment>
    <comment ref="F333" authorId="0" shapeId="0" xr:uid="{1C7E815E-8FC4-464F-A73F-B2B11667BD45}">
      <text>
        <r>
          <rPr>
            <b/>
            <sz val="9"/>
            <color indexed="81"/>
            <rFont val="Tahoma"/>
            <charset val="1"/>
          </rPr>
          <t>44776:</t>
        </r>
        <r>
          <rPr>
            <sz val="9"/>
            <color indexed="81"/>
            <rFont val="Tahoma"/>
            <charset val="1"/>
          </rPr>
          <t xml:space="preserve">
GBD 2019. Mild anxiety DW = 0.030.</t>
        </r>
      </text>
    </comment>
    <comment ref="B334" authorId="0" shapeId="0" xr:uid="{9E397DC7-3DEC-4653-B7F6-9BC497E17323}">
      <text>
        <r>
          <rPr>
            <b/>
            <sz val="9"/>
            <color indexed="81"/>
            <rFont val="Tahoma"/>
            <charset val="1"/>
          </rPr>
          <t>44776:</t>
        </r>
        <r>
          <rPr>
            <sz val="9"/>
            <color indexed="81"/>
            <rFont val="Tahoma"/>
            <charset val="1"/>
          </rPr>
          <t xml:space="preserve">
Assumption: fine resolution removes stress for ~6 months of the year</t>
        </r>
      </text>
    </comment>
    <comment ref="B346" authorId="0" shapeId="0" xr:uid="{2F27E4C8-F495-4EC2-842C-D7C3A7941439}">
      <text>
        <r>
          <rPr>
            <b/>
            <sz val="9"/>
            <color indexed="81"/>
            <rFont val="Tahoma"/>
            <charset val="1"/>
          </rPr>
          <t>44776:</t>
        </r>
        <r>
          <rPr>
            <sz val="9"/>
            <color indexed="81"/>
            <rFont val="Tahoma"/>
            <charset val="1"/>
          </rPr>
          <t xml:space="preserve">
Source: Private health/sexual health consultation in Barcelona: €50-80/session. Using €60 as conservative mid-point for professional SRH advice.</t>
        </r>
      </text>
    </comment>
    <comment ref="B348" authorId="0" shapeId="0" xr:uid="{9728231E-C7C0-4914-919E-AF86BDB1C885}">
      <text>
        <r>
          <rPr>
            <b/>
            <sz val="9"/>
            <color indexed="81"/>
            <rFont val="Tahoma"/>
            <charset val="1"/>
          </rPr>
          <t>Source: GBD 2019 Disability Weights. Moderate anxiety disorder DW = 0.133 (95% UI: 0.091-0.186). Proxy for moderate anxiety from sexual violence risk, marginalisation, and sexual health uncertainty among Punto Lila beneficiaries.
https://ghdx.healthdata.org/record/ihme-data/gbd-2019-disability-weights</t>
        </r>
      </text>
    </comment>
    <comment ref="F348" authorId="0" shapeId="0" xr:uid="{EB196F41-94B3-48C0-8382-32690CE3984A}">
      <text>
        <r>
          <rPr>
            <b/>
            <sz val="9"/>
            <color indexed="81"/>
            <rFont val="Tahoma"/>
            <charset val="1"/>
          </rPr>
          <t>44776:</t>
        </r>
        <r>
          <rPr>
            <sz val="9"/>
            <color indexed="81"/>
            <rFont val="Tahoma"/>
            <charset val="1"/>
          </rPr>
          <t xml:space="preserve">
GBD 2019. Moderate anxiety DW = 0.133.</t>
        </r>
      </text>
    </comment>
    <comment ref="B349" authorId="0" shapeId="0" xr:uid="{FB3A25F3-2246-4846-9E3C-6B8BCA22D4AC}">
      <text>
        <r>
          <rPr>
            <b/>
            <sz val="9"/>
            <color indexed="81"/>
            <rFont val="Tahoma"/>
            <charset val="1"/>
          </rPr>
          <t>44776:</t>
        </r>
        <r>
          <rPr>
            <sz val="9"/>
            <color indexed="81"/>
            <rFont val="Tahoma"/>
            <charset val="1"/>
          </rPr>
          <t xml:space="preserve">
Source: GBD 2019. HIV DW (untreated) = 0.274. Probability of advice preventing an STI/HIV infection per woman per year ≈ 5-10%. DALY averted = 0.08 × 0.274 = 0.022 DALYs. Conservative estimate.</t>
        </r>
      </text>
    </comment>
    <comment ref="F349" authorId="0" shapeId="0" xr:uid="{69E3BFE2-B629-4890-BA34-C9CA28647F0B}">
      <text>
        <r>
          <rPr>
            <b/>
            <sz val="9"/>
            <color indexed="81"/>
            <rFont val="Tahoma"/>
            <charset val="1"/>
          </rPr>
          <t>44776:</t>
        </r>
        <r>
          <rPr>
            <sz val="9"/>
            <color indexed="81"/>
            <rFont val="Tahoma"/>
            <charset val="1"/>
          </rPr>
          <t xml:space="preserve">
GBD 2019. HIV/AIDS DW used for early intervention probability.</t>
        </r>
      </text>
    </comment>
    <comment ref="B354" authorId="0" shapeId="0" xr:uid="{93B0E334-EC63-4627-83C9-58B5AADBF59C}">
      <text>
        <r>
          <rPr>
            <b/>
            <sz val="9"/>
            <color indexed="81"/>
            <rFont val="Tahoma"/>
            <charset val="1"/>
          </rPr>
          <t>44776:</t>
        </r>
        <r>
          <rPr>
            <sz val="9"/>
            <color indexed="81"/>
            <rFont val="Tahoma"/>
            <charset val="1"/>
          </rPr>
          <t xml:space="preserve">
Assumption: advice and support provide anxiety relief for ~6 months per year</t>
        </r>
      </text>
    </comment>
    <comment ref="B355" authorId="0" shapeId="0" xr:uid="{AC8C27E0-01EE-41A1-9171-6A9A6A5BBAA9}">
      <text>
        <r>
          <rPr>
            <b/>
            <sz val="9"/>
            <color indexed="81"/>
            <rFont val="Tahoma"/>
            <charset val="1"/>
          </rPr>
          <t>Conservative: avoided cost only (150 women × 3 sessions × €60). Previous methodology stacked avoided cost + anxiety DALY + HIV DALY which produced an inflated figure (~€800k). This version uses only the market replacement cost of equivalent professional SRH consultations.</t>
        </r>
      </text>
    </comment>
    <comment ref="B364" authorId="0" shapeId="0" xr:uid="{5DA0A17F-8EBB-44B3-8393-CED19841A5E4}">
      <text>
        <r>
          <rPr>
            <b/>
            <sz val="9"/>
            <color indexed="81"/>
            <rFont val="Tahoma"/>
            <charset val="1"/>
          </rPr>
          <t>44776:</t>
        </r>
        <r>
          <rPr>
            <sz val="9"/>
            <color indexed="81"/>
            <rFont val="Tahoma"/>
            <charset val="1"/>
          </rPr>
          <t xml:space="preserve">
Spanish school year: September to June = 10 months</t>
        </r>
      </text>
    </comment>
    <comment ref="B368" authorId="0" shapeId="0" xr:uid="{47FA49B2-2514-484B-B44E-0257B3118B34}">
      <text>
        <r>
          <rPr>
            <b/>
            <sz val="9"/>
            <color indexed="81"/>
            <rFont val="Tahoma"/>
            <charset val="1"/>
          </rPr>
          <t>44776:</t>
        </r>
        <r>
          <rPr>
            <sz val="9"/>
            <color indexed="81"/>
            <rFont val="Tahoma"/>
            <charset val="1"/>
          </rPr>
          <t xml:space="preserve">
Assumed: morning childcare runs during school term (10 months, Sep-Jun)</t>
        </r>
      </text>
    </comment>
    <comment ref="B369" authorId="0" shapeId="0" xr:uid="{FF97EA6F-DEA7-44E8-B8BD-A3BC8B890741}">
      <text>
        <r>
          <rPr>
            <b/>
            <sz val="9"/>
            <color indexed="81"/>
            <rFont val="Tahoma"/>
            <charset val="1"/>
          </rPr>
          <t>44776:</t>
        </r>
        <r>
          <rPr>
            <sz val="9"/>
            <color indexed="81"/>
            <rFont val="Tahoma"/>
            <charset val="1"/>
          </rPr>
          <t xml:space="preserve">
Source: Barcelona public nursery costs €50-395/month (income-dependent). Private: €350-800/month. Using €200/month as mid-range for low-income families in El Raval who would otherwise need to pay for childcare. BCN Ideal Services (2025); Expatica; Balcells Group.</t>
        </r>
      </text>
    </comment>
    <comment ref="F369" authorId="0" shapeId="0" xr:uid="{9D2E3F21-B9A3-4E69-904D-FF0930B631EF}">
      <text>
        <r>
          <rPr>
            <b/>
            <sz val="9"/>
            <color indexed="81"/>
            <rFont val="Tahoma"/>
            <charset val="1"/>
          </rPr>
          <t>44776:</t>
        </r>
        <r>
          <rPr>
            <sz val="9"/>
            <color indexed="81"/>
            <rFont val="Tahoma"/>
            <charset val="1"/>
          </rPr>
          <t xml:space="preserve">
Expatica: Daycare and preschools in Spain. Barcelona preschool costs €30-395/month. Also: BCN Ideal Services (2025); Balcells Group childcare guide.</t>
        </r>
      </text>
    </comment>
    <comment ref="B370" authorId="0" shapeId="0" xr:uid="{25CFC77C-1558-4FFE-84DD-368CC976F319}">
      <text>
        <r>
          <rPr>
            <b/>
            <sz val="9"/>
            <color indexed="81"/>
            <rFont val="Tahoma"/>
            <charset val="1"/>
          </rPr>
          <t>44776:</t>
        </r>
        <r>
          <rPr>
            <sz val="9"/>
            <color indexed="81"/>
            <rFont val="Tahoma"/>
            <charset val="1"/>
          </rPr>
          <t xml:space="preserve">
Source: Spain minimum wage 2025: €1,184/month / ~160 hours = €7.40/hr. For El Raval low-income workers, estimated at ~€8.50/hr (slightly above minimum). INE (National Statistics Institute).</t>
        </r>
      </text>
    </comment>
    <comment ref="B371" authorId="0" shapeId="0" xr:uid="{0DA43027-B7F4-4CCC-B180-C00138B70212}">
      <text>
        <r>
          <rPr>
            <b/>
            <sz val="9"/>
            <color indexed="81"/>
            <rFont val="Tahoma"/>
            <charset val="1"/>
          </rPr>
          <t>44776:</t>
        </r>
        <r>
          <rPr>
            <sz val="9"/>
            <color indexed="81"/>
            <rFont val="Tahoma"/>
            <charset val="1"/>
          </rPr>
          <t xml:space="preserve">
Assumed morning session: approx. 08:00-12:00 (4 hours)</t>
        </r>
      </text>
    </comment>
    <comment ref="B373" authorId="0" shapeId="0" xr:uid="{E6931155-75B2-4A11-9B29-AA2CC4EC7F94}">
      <text>
        <r>
          <rPr>
            <b/>
            <sz val="9"/>
            <color indexed="81"/>
            <rFont val="Tahoma"/>
            <charset val="1"/>
          </rPr>
          <t>44776:</t>
        </r>
        <r>
          <rPr>
            <sz val="9"/>
            <color indexed="81"/>
            <rFont val="Tahoma"/>
            <charset val="1"/>
          </rPr>
          <t xml:space="preserve">
Assumption: 70% of parents whose children attend morning childcare use that time for paid work. Others may use it for essential errands, healthcare appointments, job searching.</t>
        </r>
      </text>
    </comment>
    <comment ref="B386" authorId="0" shapeId="0" xr:uid="{93B350D9-E4B2-4A66-B45D-67063AC12B3C}">
      <text>
        <r>
          <rPr>
            <b/>
            <sz val="9"/>
            <color indexed="81"/>
            <rFont val="Tahoma"/>
            <charset val="1"/>
          </rPr>
          <t>44776:</t>
        </r>
        <r>
          <rPr>
            <sz val="9"/>
            <color indexed="81"/>
            <rFont val="Tahoma"/>
            <charset val="1"/>
          </rPr>
          <t xml:space="preserve">
Source: Comparable outdoor environmental education programmes in Barcelona charge €10-20 per child per session. Community garden visits, urban farm tours, etc. Using €15 as mid-point.</t>
        </r>
      </text>
    </comment>
    <comment ref="B387" authorId="0" shapeId="0" xr:uid="{40979BF1-C920-44F3-B866-727FF7D7FF7F}">
      <text>
        <r>
          <rPr>
            <b/>
            <sz val="9"/>
            <color indexed="81"/>
            <rFont val="Tahoma"/>
            <charset val="1"/>
          </rPr>
          <t>44776:</t>
        </r>
        <r>
          <rPr>
            <sz val="9"/>
            <color indexed="81"/>
            <rFont val="Tahoma"/>
            <charset val="1"/>
          </rPr>
          <t xml:space="preserve">
Source: Estimated long-term value of environmental education. Research shows early environmental education leads to stronger pro-environmental attitudes and behaviours in adulthood. Lifetime behavioural change value (discounted): ~€50/child as conservative floor. Informed by TEEB education values.</t>
        </r>
      </text>
    </comment>
    <comment ref="F387" authorId="0" shapeId="0" xr:uid="{5A536A5C-63CC-4900-AF5C-5DCA128351A4}">
      <text>
        <r>
          <rPr>
            <b/>
            <sz val="9"/>
            <color indexed="81"/>
            <rFont val="Tahoma"/>
            <charset val="1"/>
          </rPr>
          <t>44776:</t>
        </r>
        <r>
          <rPr>
            <sz val="9"/>
            <color indexed="81"/>
            <rFont val="Tahoma"/>
            <charset val="1"/>
          </rPr>
          <t xml:space="preserve">
TEEB Database and Valuation Manual (2013). Environmental education long-term value estimates.</t>
        </r>
      </text>
    </comment>
    <comment ref="F401" authorId="0" shapeId="0" xr:uid="{A26D020D-9BA6-4308-B000-27537C3640F3}">
      <text>
        <r>
          <rPr>
            <b/>
            <sz val="9"/>
            <color indexed="81"/>
            <rFont val="Tahoma"/>
            <charset val="1"/>
          </rPr>
          <t>44776:</t>
        </r>
        <r>
          <rPr>
            <sz val="9"/>
            <color indexed="81"/>
            <rFont val="Tahoma"/>
            <charset val="1"/>
          </rPr>
          <t xml:space="preserve">
Source: PMC, Scoping Review of Care Leavers Mental Health, 2024</t>
        </r>
      </text>
    </comment>
    <comment ref="F402" authorId="0" shapeId="0" xr:uid="{C3CA90C8-40B8-438A-83FE-1AAF0538222C}">
      <text>
        <r>
          <rPr>
            <b/>
            <sz val="9"/>
            <color indexed="81"/>
            <rFont val="Tahoma"/>
            <charset val="1"/>
          </rPr>
          <t>44776:</t>
        </r>
        <r>
          <rPr>
            <sz val="9"/>
            <color indexed="81"/>
            <rFont val="Tahoma"/>
            <charset val="1"/>
          </rPr>
          <t xml:space="preserve">
Source: PMC, Systematic Review of Care Leaver Interventions, 2024</t>
        </r>
      </text>
    </comment>
    <comment ref="F403" authorId="0" shapeId="0" xr:uid="{4413032F-EC19-4158-BA7A-F14559FC84CD}">
      <text>
        <r>
          <rPr>
            <b/>
            <sz val="9"/>
            <color indexed="81"/>
            <rFont val="Tahoma"/>
            <charset val="1"/>
          </rPr>
          <t>44776:</t>
        </r>
        <r>
          <rPr>
            <sz val="9"/>
            <color indexed="81"/>
            <rFont val="Tahoma"/>
            <charset val="1"/>
          </rPr>
          <t xml:space="preserve">
Source: GBD 2019 Disability Weights, IHME</t>
        </r>
      </text>
    </comment>
    <comment ref="F411" authorId="0" shapeId="0" xr:uid="{5F8F1D85-CED2-41A0-AE1E-4A67B70782F9}">
      <text>
        <r>
          <rPr>
            <b/>
            <sz val="9"/>
            <color indexed="81"/>
            <rFont val="Tahoma"/>
            <charset val="1"/>
          </rPr>
          <t>44776:</t>
        </r>
        <r>
          <rPr>
            <sz val="9"/>
            <color indexed="81"/>
            <rFont val="Tahoma"/>
            <charset val="1"/>
          </rPr>
          <t xml:space="preserve">
Source: Àgora programme description — pharmaceutical drug addiction identified as defining characteristic of cohort</t>
        </r>
      </text>
    </comment>
    <comment ref="F412" authorId="0" shapeId="0" xr:uid="{20600EF8-2CA2-4694-9624-8F09F93308F9}">
      <text>
        <r>
          <rPr>
            <b/>
            <sz val="9"/>
            <color indexed="81"/>
            <rFont val="Tahoma"/>
            <charset val="1"/>
          </rPr>
          <t>44776:</t>
        </r>
        <r>
          <rPr>
            <sz val="9"/>
            <color indexed="81"/>
            <rFont val="Tahoma"/>
            <charset val="1"/>
          </rPr>
          <t xml:space="preserve">
Source: PMC, Systematic Review of Care Leaver Interventions, 2024</t>
        </r>
      </text>
    </comment>
    <comment ref="F413" authorId="0" shapeId="0" xr:uid="{E9D15257-A579-4A68-A3EB-B9E0F065C317}">
      <text>
        <r>
          <rPr>
            <b/>
            <sz val="9"/>
            <color indexed="81"/>
            <rFont val="Tahoma"/>
            <charset val="1"/>
          </rPr>
          <t>44776:</t>
        </r>
        <r>
          <rPr>
            <sz val="9"/>
            <color indexed="81"/>
            <rFont val="Tahoma"/>
            <charset val="1"/>
          </rPr>
          <t xml:space="preserve">
Source: GBD 2019 Disability Weights, IHME. Drug dependence (mild) DW = 0.116</t>
        </r>
      </text>
    </comment>
    <comment ref="F421" authorId="0" shapeId="0" xr:uid="{DAA1FFD6-9B65-42B1-920D-8B5D1D86962C}">
      <text>
        <r>
          <rPr>
            <b/>
            <sz val="9"/>
            <color indexed="81"/>
            <rFont val="Tahoma"/>
            <charset val="1"/>
          </rPr>
          <t>44776:</t>
        </r>
        <r>
          <rPr>
            <sz val="9"/>
            <color indexed="81"/>
            <rFont val="Tahoma"/>
            <charset val="1"/>
          </rPr>
          <t xml:space="preserve">
Source: Àgora programme description — 'many of them end up with stable lives after'</t>
        </r>
      </text>
    </comment>
    <comment ref="F422" authorId="0" shapeId="0" xr:uid="{CA3761EF-C435-40B9-AB26-D58428B59EFA}">
      <text>
        <r>
          <rPr>
            <b/>
            <sz val="9"/>
            <color indexed="81"/>
            <rFont val="Tahoma"/>
            <charset val="1"/>
          </rPr>
          <t>44776:</t>
        </r>
        <r>
          <rPr>
            <sz val="9"/>
            <color indexed="81"/>
            <rFont val="Tahoma"/>
            <charset val="1"/>
          </rPr>
          <t xml:space="preserve">
Source: INE Spain, Wage Structure Survey 2023. SMI 2025 = €16,576/yr (14 payments × €1,184)</t>
        </r>
      </text>
    </comment>
    <comment ref="F428" authorId="0" shapeId="0" xr:uid="{8E6AC556-E2EF-4D57-87DC-EDE16BE3D889}">
      <text>
        <r>
          <rPr>
            <b/>
            <sz val="9"/>
            <color indexed="81"/>
            <rFont val="Tahoma"/>
            <charset val="1"/>
          </rPr>
          <t>44776:</t>
        </r>
        <r>
          <rPr>
            <sz val="9"/>
            <color indexed="81"/>
            <rFont val="Tahoma"/>
            <charset val="1"/>
          </rPr>
          <t xml:space="preserve">
Source: PMC, Systematic Review of Care Leaver Interventions — care leavers face higher rates of criminal justice contact</t>
        </r>
      </text>
    </comment>
    <comment ref="F430" authorId="0" shapeId="0" xr:uid="{34F1566E-DC37-45FB-87CD-F1D894632EEE}">
      <text>
        <r>
          <rPr>
            <b/>
            <sz val="9"/>
            <color indexed="81"/>
            <rFont val="Tahoma"/>
            <charset val="1"/>
          </rPr>
          <t>44776:</t>
        </r>
        <r>
          <rPr>
            <sz val="9"/>
            <color indexed="81"/>
            <rFont val="Tahoma"/>
            <charset val="1"/>
          </rPr>
          <t xml:space="preserve">
Source: ACAIP (prison officers union), Spain. €1,950/month per prisoner</t>
        </r>
      </text>
    </comment>
    <comment ref="F435" authorId="0" shapeId="0" xr:uid="{DA08BC32-DE60-4DCA-89D8-B1A8D540CD97}">
      <text>
        <r>
          <rPr>
            <b/>
            <sz val="9"/>
            <color indexed="81"/>
            <rFont val="Tahoma"/>
            <charset val="1"/>
          </rPr>
          <t>44776:</t>
        </r>
        <r>
          <rPr>
            <sz val="9"/>
            <color indexed="81"/>
            <rFont val="Tahoma"/>
            <charset val="1"/>
          </rPr>
          <t xml:space="preserve">
Source: PMC, Scoping Review of Care Leavers Mental Health — housing instability is a major outcome</t>
        </r>
      </text>
    </comment>
    <comment ref="F437" authorId="0" shapeId="0" xr:uid="{1AAE1920-2F5D-4A93-A9AF-F45098E5C6D7}">
      <text>
        <r>
          <rPr>
            <b/>
            <sz val="9"/>
            <color indexed="81"/>
            <rFont val="Tahoma"/>
            <charset val="1"/>
          </rPr>
          <t>44776:</t>
        </r>
        <r>
          <rPr>
            <sz val="9"/>
            <color indexed="81"/>
            <rFont val="Tahoma"/>
            <charset val="1"/>
          </rPr>
          <t xml:space="preserve">
Source: Estimated from Barcelona municipal social services costs, emergency shelter provision, and healthcare utilisation data</t>
        </r>
      </text>
    </comment>
    <comment ref="F441" authorId="0" shapeId="0" xr:uid="{96D07825-4EC8-4956-9943-AD64C33C682D}">
      <text>
        <r>
          <rPr>
            <b/>
            <sz val="9"/>
            <color indexed="81"/>
            <rFont val="Tahoma"/>
            <charset val="1"/>
          </rPr>
          <t>44776:</t>
        </r>
        <r>
          <rPr>
            <sz val="9"/>
            <color indexed="81"/>
            <rFont val="Tahoma"/>
            <charset val="1"/>
          </rPr>
          <t xml:space="preserve">
Source: GBD 2019 Disability Weights, IHME</t>
        </r>
      </text>
    </comment>
    <comment ref="F453" authorId="0" shapeId="0" xr:uid="{390F7C04-9D50-449B-A786-E6B1F188EC8B}">
      <text>
        <r>
          <rPr>
            <b/>
            <sz val="9"/>
            <color indexed="81"/>
            <rFont val="Tahoma"/>
            <charset val="1"/>
          </rPr>
          <t>44776:</t>
        </r>
        <r>
          <rPr>
            <sz val="9"/>
            <color indexed="81"/>
            <rFont val="Tahoma"/>
            <charset val="1"/>
          </rPr>
          <t xml:space="preserve">
Baró et al. 2014. Barcelona urban forest ecosystem services. Ambio 43:466-479. Area &amp; species from conversations with Àgora representatives.</t>
        </r>
      </text>
    </comment>
    <comment ref="F454" authorId="0" shapeId="0" xr:uid="{E636F688-C6F9-4278-9909-ADB55CCDE31A}">
      <text>
        <r>
          <rPr>
            <b/>
            <sz val="9"/>
            <color indexed="81"/>
            <rFont val="Tahoma"/>
            <charset val="1"/>
          </rPr>
          <t>44776:</t>
        </r>
        <r>
          <rPr>
            <sz val="9"/>
            <color indexed="81"/>
            <rFont val="Tahoma"/>
            <charset val="1"/>
          </rPr>
          <t xml:space="preserve">
GBD 2019 Disability Weights (IHME). Mild anxiety DW = 0.030. Input parameters from conversations with Àgora representatives.</t>
        </r>
      </text>
    </comment>
    <comment ref="F456" authorId="0" shapeId="0" xr:uid="{BA24BF90-9ACA-4357-976B-99B04111315C}">
      <text>
        <r>
          <rPr>
            <b/>
            <sz val="9"/>
            <color indexed="81"/>
            <rFont val="Tahoma"/>
            <charset val="1"/>
          </rPr>
          <t>44776:</t>
        </r>
        <r>
          <rPr>
            <sz val="9"/>
            <color indexed="81"/>
            <rFont val="Tahoma"/>
            <charset val="1"/>
          </rPr>
          <t xml:space="preserve">
Oppla: Urban gardens in Barcelona. WTP rates from CV literature (Spain). Population from INE.</t>
        </r>
      </text>
    </comment>
    <comment ref="F457" authorId="0" shapeId="0" xr:uid="{2B0BBE7F-4F7A-450E-B255-C128D089A42E}">
      <text>
        <r>
          <rPr>
            <b/>
            <sz val="9"/>
            <color indexed="81"/>
            <rFont val="Tahoma"/>
            <charset val="1"/>
          </rPr>
          <t>44776:</t>
        </r>
        <r>
          <rPr>
            <sz val="9"/>
            <color indexed="81"/>
            <rFont val="Tahoma"/>
            <charset val="1"/>
          </rPr>
          <t xml:space="preserve">
Meal counts from Àgora representatives. Replacement cost from Barcelona cost of living data (Numbeo 2024).</t>
        </r>
      </text>
    </comment>
    <comment ref="F458" authorId="0" shapeId="0" xr:uid="{E7B6EAFC-F9BC-4D9A-8071-5FFA89D33DBC}">
      <text>
        <r>
          <rPr>
            <b/>
            <sz val="9"/>
            <color indexed="81"/>
            <rFont val="Tahoma"/>
            <charset val="1"/>
          </rPr>
          <t>44776:</t>
        </r>
        <r>
          <rPr>
            <sz val="9"/>
            <color indexed="81"/>
            <rFont val="Tahoma"/>
            <charset val="1"/>
          </rPr>
          <t xml:space="preserve">
GBD 2019 DWs: moderate PEM DW = 0.051. DALY value $59,446 from eQALY template.</t>
        </r>
      </text>
    </comment>
    <comment ref="F462" authorId="0" shapeId="0" xr:uid="{AEAE07BF-AD6A-4BE4-8F88-F53C2DE6C9DE}">
      <text>
        <r>
          <rPr>
            <b/>
            <sz val="9"/>
            <color indexed="81"/>
            <rFont val="Tahoma"/>
            <charset val="1"/>
          </rPr>
          <t>44776:</t>
        </r>
        <r>
          <rPr>
            <sz val="9"/>
            <color indexed="81"/>
            <rFont val="Tahoma"/>
            <charset val="1"/>
          </rPr>
          <t xml:space="preserve">
GBD 2019 DWs: mild MDD DW = 0.145. Ramadan dates from Islamic Relief (2026).</t>
        </r>
      </text>
    </comment>
    <comment ref="F463" authorId="0" shapeId="0" xr:uid="{BBBB4EE7-D75C-4F67-AEBB-2FE5EABA1D7A}">
      <text>
        <r>
          <rPr>
            <b/>
            <sz val="9"/>
            <color indexed="81"/>
            <rFont val="Tahoma"/>
            <charset val="1"/>
          </rPr>
          <t>44776:</t>
        </r>
        <r>
          <rPr>
            <sz val="9"/>
            <color indexed="81"/>
            <rFont val="Tahoma"/>
            <charset val="1"/>
          </rPr>
          <t xml:space="preserve">
WTP for Maria Luisa Park, Seville. J. Urban Planning &amp; Dev. 147(3), 2021. Event counts from conversations with Àgora representatives.</t>
        </r>
      </text>
    </comment>
    <comment ref="F464" authorId="0" shapeId="0" xr:uid="{4523A5B6-F6FF-43F5-B6FD-CEA941FFCCEC}">
      <text>
        <r>
          <rPr>
            <b/>
            <sz val="9"/>
            <color indexed="81"/>
            <rFont val="Tahoma"/>
            <charset val="1"/>
          </rPr>
          <t>44776:</t>
        </r>
        <r>
          <rPr>
            <sz val="9"/>
            <color indexed="81"/>
            <rFont val="Tahoma"/>
            <charset val="1"/>
          </rPr>
          <t xml:space="preserve">
Collective counts from Àgora representatives. Venue hire rates from Ciutat Vella community space market.</t>
        </r>
      </text>
    </comment>
    <comment ref="F465" authorId="0" shapeId="0" xr:uid="{BAE34D52-9201-41B5-B096-CF2E58A4D5EB}">
      <text>
        <r>
          <rPr>
            <b/>
            <sz val="9"/>
            <color indexed="81"/>
            <rFont val="Tahoma"/>
            <charset val="1"/>
          </rPr>
          <t>44776:</t>
        </r>
        <r>
          <rPr>
            <sz val="9"/>
            <color indexed="81"/>
            <rFont val="Tahoma"/>
            <charset val="1"/>
          </rPr>
          <t xml:space="preserve">
GBD 2019 DWs: moderate anxiety DW = 0.133. Legal costs from Barcelona immigration law market. Passport counts from conversations with Àgora representatives.</t>
        </r>
      </text>
    </comment>
    <comment ref="F466" authorId="0" shapeId="0" xr:uid="{5B52E874-213F-4F69-936F-721694A41227}">
      <text>
        <r>
          <rPr>
            <b/>
            <sz val="9"/>
            <color indexed="81"/>
            <rFont val="Tahoma"/>
            <charset val="1"/>
          </rPr>
          <t>44776:</t>
        </r>
        <r>
          <rPr>
            <sz val="9"/>
            <color indexed="81"/>
            <rFont val="Tahoma"/>
            <charset val="1"/>
          </rPr>
          <t xml:space="preserve">
GBD 2019 DWs: moderate anxiety DW = 0.133. Legal costs from Barcelona criminal/family law market. Case counts from conversations with Àgora representatives.</t>
        </r>
      </text>
    </comment>
    <comment ref="F469" authorId="0" shapeId="0" xr:uid="{3310A1D1-DE18-4C31-BC54-9C24F729262B}">
      <text>
        <r>
          <rPr>
            <b/>
            <sz val="9"/>
            <color indexed="81"/>
            <rFont val="Tahoma"/>
            <charset val="1"/>
          </rPr>
          <t>44776:</t>
        </r>
        <r>
          <rPr>
            <sz val="9"/>
            <color indexed="81"/>
            <rFont val="Tahoma"/>
            <charset val="1"/>
          </rPr>
          <t xml:space="preserve">
GBD 2019 DWs: mild anxiety DW = 0.030. Surcharge rate from Ley General Tributaria. Fund data from conversations with Àgora representatives.</t>
        </r>
      </text>
    </comment>
    <comment ref="F471" authorId="0" shapeId="0" xr:uid="{2B3324CB-4B50-4AD3-962A-31CEFAC52E25}">
      <text>
        <r>
          <rPr>
            <b/>
            <sz val="9"/>
            <color indexed="81"/>
            <rFont val="Tahoma"/>
            <charset val="1"/>
          </rPr>
          <t>44776:</t>
        </r>
        <r>
          <rPr>
            <sz val="9"/>
            <color indexed="81"/>
            <rFont val="Tahoma"/>
            <charset val="1"/>
          </rPr>
          <t xml:space="preserve">
150 women × 3 sessions × €60/session. From conversations with Àgora representatives (beneficiary count). Barcelona private health consultation market rates.</t>
        </r>
      </text>
    </comment>
    <comment ref="F476" authorId="0" shapeId="0" xr:uid="{0B4BC77B-E8F3-43D2-A0CF-6CB9DE969EE0}">
      <text>
        <r>
          <rPr>
            <b/>
            <sz val="9"/>
            <color indexed="81"/>
            <rFont val="Tahoma"/>
            <charset val="1"/>
          </rPr>
          <t>44776:</t>
        </r>
        <r>
          <rPr>
            <sz val="9"/>
            <color indexed="81"/>
            <rFont val="Tahoma"/>
            <charset val="1"/>
          </rPr>
          <t xml:space="preserve">
Childcare counts from Àgora representatives. Nursery costs from Expatica, BCN Ideal Services, Balcells Group guides to Barcelona childcare.</t>
        </r>
      </text>
    </comment>
    <comment ref="F477" authorId="0" shapeId="0" xr:uid="{720DB6A9-D22A-49F6-ADC5-B67E2C1FA150}">
      <text>
        <r>
          <rPr>
            <b/>
            <sz val="9"/>
            <color indexed="81"/>
            <rFont val="Tahoma"/>
            <charset val="1"/>
          </rPr>
          <t>44776:</t>
        </r>
        <r>
          <rPr>
            <sz val="9"/>
            <color indexed="81"/>
            <rFont val="Tahoma"/>
            <charset val="1"/>
          </rPr>
          <t xml:space="preserve">
Childcare counts from Àgora representatives. Wage data from INE Spain.</t>
        </r>
      </text>
    </comment>
    <comment ref="F478" authorId="0" shapeId="0" xr:uid="{2634C0F0-AB7A-408A-BDB8-99263095C1AC}">
      <text>
        <r>
          <rPr>
            <b/>
            <sz val="9"/>
            <color indexed="81"/>
            <rFont val="Tahoma"/>
            <charset val="1"/>
          </rPr>
          <t>44776:</t>
        </r>
        <r>
          <rPr>
            <sz val="9"/>
            <color indexed="81"/>
            <rFont val="Tahoma"/>
            <charset val="1"/>
          </rPr>
          <t xml:space="preserve">
School visit counts from Àgora representatives. Education programme costs from Barcelona outdoor ed. market. TEEB for long-term behaviour value.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<sst xmlns="http://schemas.openxmlformats.org/spreadsheetml/2006/main" count="21735" uniqueCount="3260">
  <si>
    <t>-</t>
  </si>
  <si>
    <t>Electricity use</t>
  </si>
  <si>
    <t>Avoided costs</t>
  </si>
  <si>
    <t>Grand Total</t>
  </si>
  <si>
    <t>Project</t>
  </si>
  <si>
    <t>Costs to society</t>
  </si>
  <si>
    <t>Ecosystem services</t>
  </si>
  <si>
    <t>Improved educational opportunities</t>
  </si>
  <si>
    <t>Income</t>
  </si>
  <si>
    <t>Health</t>
  </si>
  <si>
    <t>Avoided social costs/benefits</t>
  </si>
  <si>
    <t>Well-being</t>
  </si>
  <si>
    <t>Improved economic/livelihood opportunities</t>
  </si>
  <si>
    <t>Training</t>
  </si>
  <si>
    <t>Improved gender equality</t>
  </si>
  <si>
    <t>Change in household finances</t>
  </si>
  <si>
    <t>ozone depletion potential (ODPinfinite)</t>
  </si>
  <si>
    <t>Improved health and wellbeing</t>
  </si>
  <si>
    <t>photochemical oxidant formation potential: humans (HOFP)</t>
  </si>
  <si>
    <t>marine eutrophication potential (MEP)</t>
  </si>
  <si>
    <t>ionising radiation potential (IRP)</t>
  </si>
  <si>
    <t>marine ecotoxicity potential (METP)</t>
  </si>
  <si>
    <t>photochemical oxidant formation potential: ecosystems (EOFP)</t>
  </si>
  <si>
    <t>freshwater eutrophication potential (FEP)</t>
  </si>
  <si>
    <t>terrestrial acidification potential (TAP)</t>
  </si>
  <si>
    <t>surplus ore potential (SOP)</t>
  </si>
  <si>
    <t>agricultural land occupation (LOP)</t>
  </si>
  <si>
    <t>particulate matter formation potential (PMFP)</t>
  </si>
  <si>
    <t>human toxicity potential (HTPc)</t>
  </si>
  <si>
    <t>freshwater ecotoxicity potential (FETP)</t>
  </si>
  <si>
    <t>human toxicity potential (HTPnc)</t>
  </si>
  <si>
    <t>fossil fuel potential (FFP)</t>
  </si>
  <si>
    <t>global warming potential (GWP100)</t>
  </si>
  <si>
    <t>total water extraction</t>
  </si>
  <si>
    <t>terrestrial ecotoxicity potential (TETP)</t>
  </si>
  <si>
    <t>Year</t>
  </si>
  <si>
    <t>Country</t>
  </si>
  <si>
    <t>Country code</t>
  </si>
  <si>
    <t>Type of benficiaries</t>
  </si>
  <si>
    <t>Generic pathway (eQALY)</t>
  </si>
  <si>
    <t>Impact driver</t>
  </si>
  <si>
    <t>Capital</t>
  </si>
  <si>
    <t>Output</t>
  </si>
  <si>
    <t>Output unit</t>
  </si>
  <si>
    <t>Baseline [%]</t>
  </si>
  <si>
    <t>Drop-off [%]</t>
  </si>
  <si>
    <t>Attribution [%]</t>
  </si>
  <si>
    <t>Duration of activity</t>
  </si>
  <si>
    <t>Duration unit</t>
  </si>
  <si>
    <t>Outcome</t>
  </si>
  <si>
    <t>Outcome unit</t>
  </si>
  <si>
    <t>Footprint</t>
  </si>
  <si>
    <t>Footprint unit</t>
  </si>
  <si>
    <t>Valuation factor</t>
  </si>
  <si>
    <t>Valuation factor
unit</t>
  </si>
  <si>
    <t>France</t>
  </si>
  <si>
    <t>FRA</t>
  </si>
  <si>
    <t>Health and well-being</t>
  </si>
  <si>
    <t>Human Capital</t>
  </si>
  <si>
    <t>beneficiaries/year</t>
  </si>
  <si>
    <t>year</t>
  </si>
  <si>
    <t>DALY/beneficiary</t>
  </si>
  <si>
    <t>Income, wage, and personal finance effects</t>
  </si>
  <si>
    <t>USD/employee</t>
  </si>
  <si>
    <t>Education, skills, and training</t>
  </si>
  <si>
    <t>Social Capital</t>
  </si>
  <si>
    <t>USD/beneficiary</t>
  </si>
  <si>
    <t>Costs to society/state</t>
  </si>
  <si>
    <t>Nature</t>
  </si>
  <si>
    <t>Natural Capital</t>
  </si>
  <si>
    <t>ha/year</t>
  </si>
  <si>
    <t>USD/ha</t>
  </si>
  <si>
    <t>market for electricity, low voltage|FR|electricity, low voltage</t>
  </si>
  <si>
    <t>Environmental externalities</t>
  </si>
  <si>
    <t>Croatia</t>
  </si>
  <si>
    <t>HRV</t>
  </si>
  <si>
    <t>USD/year</t>
  </si>
  <si>
    <t>children/year</t>
  </si>
  <si>
    <t>market for transport, passenger car, small size, petrol, EURO 5|GLO|transport, passenger car, small size, petrol, EURO 5</t>
  </si>
  <si>
    <t>Increased staff retention</t>
  </si>
  <si>
    <t>Increased productivity</t>
  </si>
  <si>
    <t>USD/USD</t>
  </si>
  <si>
    <t>General model parameters</t>
  </si>
  <si>
    <t>Value</t>
  </si>
  <si>
    <t>Unit</t>
  </si>
  <si>
    <t>Reference</t>
  </si>
  <si>
    <t>Value of DALY</t>
  </si>
  <si>
    <t>USD/DALY</t>
  </si>
  <si>
    <t>Reference year</t>
  </si>
  <si>
    <t>Average HUT</t>
  </si>
  <si>
    <t>HUT 2023 VI</t>
  </si>
  <si>
    <t>Average HUI</t>
  </si>
  <si>
    <t>HUI 2023 VI</t>
  </si>
  <si>
    <t>USD/EUR</t>
  </si>
  <si>
    <t>USD/EURO</t>
  </si>
  <si>
    <t>Internet Average 2023</t>
  </si>
  <si>
    <t>Conversion factors</t>
  </si>
  <si>
    <t>kg to ton</t>
  </si>
  <si>
    <t>kg/ton</t>
  </si>
  <si>
    <t>ton to kg</t>
  </si>
  <si>
    <t>ton/kg</t>
  </si>
  <si>
    <t xml:space="preserve">Education </t>
  </si>
  <si>
    <t>Parameters</t>
  </si>
  <si>
    <t>Education days per year</t>
  </si>
  <si>
    <t>days</t>
  </si>
  <si>
    <t>Hours of education per day</t>
  </si>
  <si>
    <t>hours</t>
  </si>
  <si>
    <t>NPV (duration of outcome)</t>
  </si>
  <si>
    <t>years</t>
  </si>
  <si>
    <t>Hours of education per year</t>
  </si>
  <si>
    <t xml:space="preserve">Earning Premium </t>
  </si>
  <si>
    <t>Primary</t>
  </si>
  <si>
    <t>Secondary</t>
  </si>
  <si>
    <t>Terciary</t>
  </si>
  <si>
    <t>East Asia &amp; Pacific</t>
  </si>
  <si>
    <t>Europe &amp; Central Asia</t>
  </si>
  <si>
    <t>Latin America &amp; Caribbean</t>
  </si>
  <si>
    <t>Middle East &amp; North Africa</t>
  </si>
  <si>
    <t>South Asia</t>
  </si>
  <si>
    <t>Sub-Saharan Africa</t>
  </si>
  <si>
    <t>North America</t>
  </si>
  <si>
    <t>High income</t>
  </si>
  <si>
    <t xml:space="preserve">All economies </t>
  </si>
  <si>
    <t>Inflation</t>
  </si>
  <si>
    <t>World inflation rate (%, IMF)</t>
  </si>
  <si>
    <t>Multiplier for inflation</t>
  </si>
  <si>
    <t>Comment</t>
  </si>
  <si>
    <t>https://www.oecd.org/en/data/indicators/nominal-gross-domestic-product-gdp.html?oecdcontrol-d7f68dbeee-var3=2023</t>
  </si>
  <si>
    <t>Annual GDP and consumption per capita, US $, current prices, current PPPs, 2023</t>
  </si>
  <si>
    <t>Used to update the natural capital valuation factors</t>
  </si>
  <si>
    <t>Valuing Impact</t>
  </si>
  <si>
    <t>Average across countries</t>
  </si>
  <si>
    <t>Health and well-being (first example)</t>
  </si>
  <si>
    <t>Number of beneficiaries</t>
  </si>
  <si>
    <t>beneficiaries</t>
  </si>
  <si>
    <t>Primary data</t>
  </si>
  <si>
    <t>Occupation safety DALY (avoided accidents)</t>
  </si>
  <si>
    <t>DALY/capita</t>
  </si>
  <si>
    <t>HEALTH VI dataset</t>
  </si>
  <si>
    <t>Additivity parameters Health</t>
  </si>
  <si>
    <t>Baseline parameter</t>
  </si>
  <si>
    <t>percentage</t>
  </si>
  <si>
    <t>Drop-off</t>
  </si>
  <si>
    <t>Attribution</t>
  </si>
  <si>
    <t>Health and well-being (second example)</t>
  </si>
  <si>
    <t>Change of integration value - DALY weight (improvement)</t>
  </si>
  <si>
    <t>WHO disability weight database</t>
  </si>
  <si>
    <t>Duration</t>
  </si>
  <si>
    <t>Income, gap to living wage and taxes</t>
  </si>
  <si>
    <t>Number of employees</t>
  </si>
  <si>
    <t>Employees</t>
  </si>
  <si>
    <t>Salary medium skill</t>
  </si>
  <si>
    <t>USD/Year</t>
  </si>
  <si>
    <t>Wages dataset VI</t>
  </si>
  <si>
    <t>Living wage - France</t>
  </si>
  <si>
    <t>2023-24 Global living wage dataset VI</t>
  </si>
  <si>
    <t>Tax rate - France</t>
  </si>
  <si>
    <t>Additivity parameters for Income</t>
  </si>
  <si>
    <t xml:space="preserve"># hours of training per beneficiary </t>
  </si>
  <si>
    <t>Education earning premium</t>
  </si>
  <si>
    <t>USD/hour</t>
  </si>
  <si>
    <t>Duration of effects</t>
  </si>
  <si>
    <t>Additivity parameters for Training</t>
  </si>
  <si>
    <t>Cost to society</t>
  </si>
  <si>
    <t>Assuming beneficiaries were benefiting from unemployment benefit, before getting a job</t>
  </si>
  <si>
    <t>Unemployment benefit</t>
  </si>
  <si>
    <t>Estimated as 50% of the medium skill salary in France</t>
  </si>
  <si>
    <t>Additivity parameters for Cost to society</t>
  </si>
  <si>
    <t>Ha of forest restored</t>
  </si>
  <si>
    <t>ha</t>
  </si>
  <si>
    <t>Value of ecosystem services from forests</t>
  </si>
  <si>
    <t>e.g. from De Groot et al. 2013 or other literature</t>
  </si>
  <si>
    <t>Additivity parameters for Ecosystem services</t>
  </si>
  <si>
    <t>kWh</t>
  </si>
  <si>
    <t>Spending on machinery manufacturing</t>
  </si>
  <si>
    <t>USD</t>
  </si>
  <si>
    <t>Additivity parameters for Environmental externalities</t>
  </si>
  <si>
    <t xml:space="preserve">Improved health and wellbeing </t>
  </si>
  <si>
    <t>Daly related to unsafe water access</t>
  </si>
  <si>
    <t>Percentage</t>
  </si>
  <si>
    <t>Nb of beneficiaries</t>
  </si>
  <si>
    <t>children</t>
  </si>
  <si>
    <t># hours of education</t>
  </si>
  <si>
    <t>Wages dataset VI - Primary education</t>
  </si>
  <si>
    <t>Additivity parameters for education</t>
  </si>
  <si>
    <t>Changes in household finances</t>
  </si>
  <si>
    <t>Additivity parameters for Employment</t>
  </si>
  <si>
    <t>Nb of jobs created due to WASH project</t>
  </si>
  <si>
    <t xml:space="preserve">Aditional income </t>
  </si>
  <si>
    <t>Additivity parameters for economic /livelihood</t>
  </si>
  <si>
    <t>Nb of women</t>
  </si>
  <si>
    <t>Aditional income due to saved time</t>
  </si>
  <si>
    <t>Avoided social costs</t>
  </si>
  <si>
    <t>Assuming state cover healthcare costs</t>
  </si>
  <si>
    <t>Healthcare costs saved</t>
  </si>
  <si>
    <t>Statistics on health costs per country due to WASH diseases</t>
  </si>
  <si>
    <t>Car use (in km)</t>
  </si>
  <si>
    <t>km</t>
  </si>
  <si>
    <t>Employees with higher level of engagement</t>
  </si>
  <si>
    <t>#</t>
  </si>
  <si>
    <t>% Turnover reduction</t>
  </si>
  <si>
    <t>Internal reports</t>
  </si>
  <si>
    <t>Cost of training new employee</t>
  </si>
  <si>
    <t>% productivity increased</t>
  </si>
  <si>
    <t>Annual salary</t>
  </si>
  <si>
    <t>Increased reputation/business continuity</t>
  </si>
  <si>
    <t>Annual sales</t>
  </si>
  <si>
    <t>Financial reports</t>
  </si>
  <si>
    <t>% consumers influenced by WASH initiatives reputation</t>
  </si>
  <si>
    <t>AIR POL | WHO</t>
  </si>
  <si>
    <t>Description</t>
  </si>
  <si>
    <t>Data gaps and adjustments</t>
  </si>
  <si>
    <t>Source</t>
  </si>
  <si>
    <t>Parameters | VI</t>
  </si>
  <si>
    <t>Parameters used in Valuing Impact´s datasets</t>
  </si>
  <si>
    <t>N/A</t>
  </si>
  <si>
    <t>HUI 2023 | VI</t>
  </si>
  <si>
    <t xml:space="preserve">Health Utility of Income (HUI) dataset </t>
  </si>
  <si>
    <t>Country income classfication updated using World Bank latest version</t>
  </si>
  <si>
    <t>HUT 2023 | VI</t>
  </si>
  <si>
    <t>Health Utility of Taxes (HUT) dataset</t>
  </si>
  <si>
    <t>LW 2023-24 | VI</t>
  </si>
  <si>
    <t>Valuing Impact Living Wage dataset.</t>
  </si>
  <si>
    <t>EDU | VI</t>
  </si>
  <si>
    <t xml:space="preserve">Earning premium of education datasets, all regions have been updated to the latest WB income classification. </t>
  </si>
  <si>
    <t xml:space="preserve">Per capita GNI data gaps are using income and regional average for missing values. Venezuela and North Korea have been classified manually as a lower middle income country due to lack of classification. Taiwan uses the GNI world average. </t>
  </si>
  <si>
    <t>HEALTH | VI</t>
  </si>
  <si>
    <t xml:space="preserve">Per country rate per capita of risk factors are from the Institute of Health Metrics and Evaluation (IHME) 2019 GBD database. </t>
  </si>
  <si>
    <t xml:space="preserve">Per capita (DALYs) have been adjusted using the rate (DALYs per 100,000) using Risk Factors  from the Institute of Health Metrics and Evaluation (IHME) 2019 GBD databasethe. Country classification have been uptadted with the 2022-2023 World Bank country classification. The per capita health expenditure has been updated with the 2021 World Health Organization Current health expenditure (CHE) per capita in US$. </t>
  </si>
  <si>
    <t>REI | IHME</t>
  </si>
  <si>
    <t>Risk Factors and causes of disability adjsuted life years (DALYs) from the Institute of Health Metrics and Evaluation (IHME) 2019 Global Burden of Disease (GBD) database</t>
  </si>
  <si>
    <t>Congo has been renamed as Congo Rep. To distinguish it from the Congo Democratic republic.</t>
  </si>
  <si>
    <t>Global Health Data Exchange (GHDx)</t>
  </si>
  <si>
    <t>CTY | WB</t>
  </si>
  <si>
    <t>2022 -2023</t>
  </si>
  <si>
    <t>This table classifies all World Bank member countries (189), and all other economies with populations of more than 30,000. For operational and analytical purposes, economies are divided among income groups according to 2022 gross national income (GNI) per capita, calculated using the World Bank Atlas method. The groups are: low income, $1,135 or less; lower middle income, $1,136  to $4,465; upper middle income, $4,466 to $13,845; and high income, $13,846 or more. The effective operational cutoff for IDA eligibility is $1,315 or less.</t>
  </si>
  <si>
    <t>World Bank Group country classifications by income level for FY24 (July 1, 2023- June 30, 2024)</t>
  </si>
  <si>
    <t xml:space="preserve">World Bank </t>
  </si>
  <si>
    <t>GNIPC | WB</t>
  </si>
  <si>
    <t>World Bannk, Gross national income per capita 2022, Atlas method and PPP</t>
  </si>
  <si>
    <t>Adjusted to 2023 using IMF World inflation rates</t>
  </si>
  <si>
    <t>CHE | WHO</t>
  </si>
  <si>
    <t>World Health Organization (WHO) Current health expenditure (CHE) spent per person in USD currency. It contributes to understand the current health expenditure relative to the population size facilitating international comparison</t>
  </si>
  <si>
    <t>Adjusted to 2023 wiht inflation from  IMF World Inflation rates</t>
  </si>
  <si>
    <t>Global Health Expenditure Database</t>
  </si>
  <si>
    <t>WAGES | VI</t>
  </si>
  <si>
    <t>Wage model developed by Valuing Impact using ILO and World Bank stats</t>
  </si>
  <si>
    <t>LCA | DB</t>
  </si>
  <si>
    <t>Life cycle impacts based on latest version of Ecoinvent 3.10 database.</t>
  </si>
  <si>
    <t>NatCap | VI</t>
  </si>
  <si>
    <t xml:space="preserve">Natural capital valuation factors for Land, Water and ReCipE (H) 2016 midpoint impacts. </t>
  </si>
  <si>
    <t xml:space="preserve">Land valuation factors developed by Samuel Vionnet based on LANCA midpoint characterization factors. Water costs are based on WRI achieving abundance paper and ReCipE (H) 2016 are based on CE Delft environmental prices handbook for the European Union, all factors have been adjusted for inflation from their original publication year. </t>
  </si>
  <si>
    <t>POP | WB</t>
  </si>
  <si>
    <t>Added Taiwan based on public data from this country.</t>
  </si>
  <si>
    <t>PM2.5 | WHO</t>
  </si>
  <si>
    <t>World Health Organization</t>
  </si>
  <si>
    <t>Water | WRI</t>
  </si>
  <si>
    <t>The values are adjusted by inflation to 2023 price levels using world average inflation rates.
The countries that were not contained in this dataset are added using averages from similar countries (same region and income level).</t>
  </si>
  <si>
    <t>Precipitation in depth | FAO</t>
  </si>
  <si>
    <t>Food and Agriculture Organization</t>
  </si>
  <si>
    <t>Terrestrial acidification</t>
  </si>
  <si>
    <t>Climate change</t>
  </si>
  <si>
    <t>Freshwater ecotoxicity</t>
  </si>
  <si>
    <t>Marine ecotoxicity</t>
  </si>
  <si>
    <t>Terrestrial ecotoxicity</t>
  </si>
  <si>
    <t>Fossil depletion</t>
  </si>
  <si>
    <t>Freshwater eutrophication - direct emissions</t>
  </si>
  <si>
    <t>Freshwater eutrophication - diffused emissions</t>
  </si>
  <si>
    <t>Marine eutrophication - direct emissions</t>
  </si>
  <si>
    <t>Marine eutrophication - diffused emissions</t>
  </si>
  <si>
    <t>Human toxicity</t>
  </si>
  <si>
    <t>Ionizing radiation</t>
  </si>
  <si>
    <t>Agricultural land occupation - pasture/meadow</t>
  </si>
  <si>
    <t>Agricultural land occupation - arable</t>
  </si>
  <si>
    <t>Agricultural land occupation - permanent crops</t>
  </si>
  <si>
    <t>Metal depletion</t>
  </si>
  <si>
    <t>Ozone depletion</t>
  </si>
  <si>
    <t>Particulate matter formation</t>
  </si>
  <si>
    <t>Particulate matter formation - Rural</t>
  </si>
  <si>
    <t>Particulate matter formation - Urban</t>
  </si>
  <si>
    <t>Photochemical Oxidant Formation</t>
  </si>
  <si>
    <t>Water depletion</t>
  </si>
  <si>
    <t>Marine plastics</t>
  </si>
  <si>
    <t>Biotic Production Loss Potential - arable</t>
  </si>
  <si>
    <t>Erosion potential - arable</t>
  </si>
  <si>
    <t>Groundwater Regeneration Reduction Potential - arable</t>
  </si>
  <si>
    <t>Physicochemical Filtration Reduction Potential - arable</t>
  </si>
  <si>
    <t>agricultural land occupation (LOP) - pasture</t>
  </si>
  <si>
    <t>agricultural land occupation (LOP) - permanent crops</t>
  </si>
  <si>
    <t>particulate matter formation potential (PMFP) - rural</t>
  </si>
  <si>
    <t>particulate matter formation potential (PMFP) - urban</t>
  </si>
  <si>
    <t>water consumption potential (WCP)</t>
  </si>
  <si>
    <t>agricultural land occupation (LOP) - arable, biotic production loss</t>
  </si>
  <si>
    <t>agricultural land occupation (LOP) - arable, erosion</t>
  </si>
  <si>
    <t>agricultural land occupation (LOP) - arable, groundwater regeneration reduction</t>
  </si>
  <si>
    <t>agricultural land occupation (LOP) - arable, physicochemical filtration reduction</t>
  </si>
  <si>
    <t>Code</t>
  </si>
  <si>
    <t>Region</t>
  </si>
  <si>
    <t>Income group</t>
  </si>
  <si>
    <t>Impact assesment method</t>
  </si>
  <si>
    <t>USD/kg SO2-Eq</t>
  </si>
  <si>
    <t>USD/kg CO2-Eq</t>
  </si>
  <si>
    <t>USD/kg 1,4-DCB-Eq</t>
  </si>
  <si>
    <t>USD/kg oil-Eq</t>
  </si>
  <si>
    <t>USD/kg P-Eq</t>
  </si>
  <si>
    <t>USD/kg N-Eq</t>
  </si>
  <si>
    <t>USD/kBq Co-60-Eq</t>
  </si>
  <si>
    <t>USD/m2*a crop-Eq</t>
  </si>
  <si>
    <t>USD/kg Cu-Eq</t>
  </si>
  <si>
    <t>USD/kg CFC-11-Eq</t>
  </si>
  <si>
    <t>USD/kg PM2.5-Eq</t>
  </si>
  <si>
    <t>USD/kg NOx-Eq</t>
  </si>
  <si>
    <t>USD/m3</t>
  </si>
  <si>
    <t>USD/kg plastic</t>
  </si>
  <si>
    <t>World</t>
  </si>
  <si>
    <t>GLO</t>
  </si>
  <si>
    <t>New ReCiPe - Ecoinvent 3.10</t>
  </si>
  <si>
    <t>Afghanistan</t>
  </si>
  <si>
    <t>AFG</t>
  </si>
  <si>
    <t>Low income</t>
  </si>
  <si>
    <t>Albania</t>
  </si>
  <si>
    <t>ALB</t>
  </si>
  <si>
    <t>Upper middle income</t>
  </si>
  <si>
    <t>Algeria</t>
  </si>
  <si>
    <t>DZA</t>
  </si>
  <si>
    <t>Lower middle income</t>
  </si>
  <si>
    <t>Angola</t>
  </si>
  <si>
    <t>AGO</t>
  </si>
  <si>
    <t>Antigua and Barbuda</t>
  </si>
  <si>
    <t>ATG</t>
  </si>
  <si>
    <t>Argentina</t>
  </si>
  <si>
    <t>ARG</t>
  </si>
  <si>
    <t>Armenia</t>
  </si>
  <si>
    <t>ARM</t>
  </si>
  <si>
    <t>Australia</t>
  </si>
  <si>
    <t>AUS</t>
  </si>
  <si>
    <t>Austria</t>
  </si>
  <si>
    <t>AUT</t>
  </si>
  <si>
    <t>Azerbaijan</t>
  </si>
  <si>
    <t>AZE</t>
  </si>
  <si>
    <t>Bahamas, The</t>
  </si>
  <si>
    <t>BHS</t>
  </si>
  <si>
    <t>Bangladesh</t>
  </si>
  <si>
    <t>BGD</t>
  </si>
  <si>
    <t>Barbados</t>
  </si>
  <si>
    <t>BRB</t>
  </si>
  <si>
    <t>Belarus</t>
  </si>
  <si>
    <t>BLR</t>
  </si>
  <si>
    <t>Belgium</t>
  </si>
  <si>
    <t>BEL</t>
  </si>
  <si>
    <t>Belize</t>
  </si>
  <si>
    <t>BLZ</t>
  </si>
  <si>
    <t>Benin</t>
  </si>
  <si>
    <t>BEN</t>
  </si>
  <si>
    <t>Bhutan</t>
  </si>
  <si>
    <t>BTN</t>
  </si>
  <si>
    <t>Bolivia</t>
  </si>
  <si>
    <t>BOL</t>
  </si>
  <si>
    <t>Bosnia and Herzegovina</t>
  </si>
  <si>
    <t>BIH</t>
  </si>
  <si>
    <t>Botswana</t>
  </si>
  <si>
    <t>BWA</t>
  </si>
  <si>
    <t>Brazil</t>
  </si>
  <si>
    <t>BRA</t>
  </si>
  <si>
    <t>Brunei Darussalam</t>
  </si>
  <si>
    <t>BRN</t>
  </si>
  <si>
    <t>Bulgaria</t>
  </si>
  <si>
    <t>BGR</t>
  </si>
  <si>
    <t>Burkina Faso</t>
  </si>
  <si>
    <t>BFA</t>
  </si>
  <si>
    <t>Burundi</t>
  </si>
  <si>
    <t>BDI</t>
  </si>
  <si>
    <t>Cabo Verde</t>
  </si>
  <si>
    <t>CPV</t>
  </si>
  <si>
    <t>Cambodia</t>
  </si>
  <si>
    <t>KHM</t>
  </si>
  <si>
    <t>Cameroon</t>
  </si>
  <si>
    <t>CMR</t>
  </si>
  <si>
    <t>Canada</t>
  </si>
  <si>
    <t>CAN</t>
  </si>
  <si>
    <t>Central African Republic</t>
  </si>
  <si>
    <t>CAF</t>
  </si>
  <si>
    <t>Chad</t>
  </si>
  <si>
    <t>TCD</t>
  </si>
  <si>
    <t>Chile</t>
  </si>
  <si>
    <t>CHL</t>
  </si>
  <si>
    <t>China</t>
  </si>
  <si>
    <t>CHN</t>
  </si>
  <si>
    <t>Colombia</t>
  </si>
  <si>
    <t>COL</t>
  </si>
  <si>
    <t>Comoros</t>
  </si>
  <si>
    <t>COM</t>
  </si>
  <si>
    <t>Congo, Dem. Rep.</t>
  </si>
  <si>
    <t>COD</t>
  </si>
  <si>
    <t>Congo, Rep.</t>
  </si>
  <si>
    <t>COG</t>
  </si>
  <si>
    <t>Costa Rica</t>
  </si>
  <si>
    <t>CRI</t>
  </si>
  <si>
    <t>Cote d'Ivoire</t>
  </si>
  <si>
    <t>CIV</t>
  </si>
  <si>
    <t>Cuba</t>
  </si>
  <si>
    <t>CUB</t>
  </si>
  <si>
    <t>Cyprus</t>
  </si>
  <si>
    <t>CYP</t>
  </si>
  <si>
    <t>Czech Republic</t>
  </si>
  <si>
    <t>CZE</t>
  </si>
  <si>
    <t>Denmark</t>
  </si>
  <si>
    <t>DNK</t>
  </si>
  <si>
    <t>Djibouti</t>
  </si>
  <si>
    <t>DJI</t>
  </si>
  <si>
    <t>Dominica</t>
  </si>
  <si>
    <t>DMA</t>
  </si>
  <si>
    <t>Dominican Republic</t>
  </si>
  <si>
    <t>DOM</t>
  </si>
  <si>
    <t>Ecuador</t>
  </si>
  <si>
    <t>ECU</t>
  </si>
  <si>
    <t>Egypt, Arab Rep.</t>
  </si>
  <si>
    <t>EGY</t>
  </si>
  <si>
    <t>El Salvador</t>
  </si>
  <si>
    <t>SLV</t>
  </si>
  <si>
    <t>Equatorial Guinea</t>
  </si>
  <si>
    <t>GNQ</t>
  </si>
  <si>
    <t>Estonia</t>
  </si>
  <si>
    <t>EST</t>
  </si>
  <si>
    <t>Ethiopia</t>
  </si>
  <si>
    <t>ETH</t>
  </si>
  <si>
    <t>Fiji</t>
  </si>
  <si>
    <t>FJI</t>
  </si>
  <si>
    <t>Finland</t>
  </si>
  <si>
    <t>FIN</t>
  </si>
  <si>
    <t>Gabon</t>
  </si>
  <si>
    <t>GAB</t>
  </si>
  <si>
    <t>Gambia, The</t>
  </si>
  <si>
    <t>GMB</t>
  </si>
  <si>
    <t>Georgia</t>
  </si>
  <si>
    <t>GEO</t>
  </si>
  <si>
    <t>Germany</t>
  </si>
  <si>
    <t>DEU</t>
  </si>
  <si>
    <t>Ghana</t>
  </si>
  <si>
    <t>GHA</t>
  </si>
  <si>
    <t>Greece</t>
  </si>
  <si>
    <t>GRC</t>
  </si>
  <si>
    <t>Grenada</t>
  </si>
  <si>
    <t>GRD</t>
  </si>
  <si>
    <t>Guatemala</t>
  </si>
  <si>
    <t>GTM</t>
  </si>
  <si>
    <t>Guinea</t>
  </si>
  <si>
    <t>GIN</t>
  </si>
  <si>
    <t>Guinea-Bissau</t>
  </si>
  <si>
    <t>GNB</t>
  </si>
  <si>
    <t>Guyana</t>
  </si>
  <si>
    <t>GUY</t>
  </si>
  <si>
    <t>Haiti</t>
  </si>
  <si>
    <t>HTI</t>
  </si>
  <si>
    <t>Honduras</t>
  </si>
  <si>
    <t>HND</t>
  </si>
  <si>
    <t>Hong Kong SAR, China</t>
  </si>
  <si>
    <t>HKG</t>
  </si>
  <si>
    <t>Hungary</t>
  </si>
  <si>
    <t>HUN</t>
  </si>
  <si>
    <t>Iceland</t>
  </si>
  <si>
    <t>ISL</t>
  </si>
  <si>
    <t>India</t>
  </si>
  <si>
    <t>IND</t>
  </si>
  <si>
    <t>Indonesia</t>
  </si>
  <si>
    <t>IDN</t>
  </si>
  <si>
    <t>Iran, Islamic Rep.</t>
  </si>
  <si>
    <t>IRN</t>
  </si>
  <si>
    <t>Iraq</t>
  </si>
  <si>
    <t>IRQ</t>
  </si>
  <si>
    <t>Ireland</t>
  </si>
  <si>
    <t>IRL</t>
  </si>
  <si>
    <t>Israel</t>
  </si>
  <si>
    <t>ISR</t>
  </si>
  <si>
    <t>Italy</t>
  </si>
  <si>
    <t>ITA</t>
  </si>
  <si>
    <t>Jamaica</t>
  </si>
  <si>
    <t>JAM</t>
  </si>
  <si>
    <t>Japan</t>
  </si>
  <si>
    <t>JPN</t>
  </si>
  <si>
    <t>Jordan</t>
  </si>
  <si>
    <t>JOR</t>
  </si>
  <si>
    <t>Kazakhstan</t>
  </si>
  <si>
    <t>KAZ</t>
  </si>
  <si>
    <t>Kenya</t>
  </si>
  <si>
    <t>KEN</t>
  </si>
  <si>
    <t>Kiribati</t>
  </si>
  <si>
    <t>KIR</t>
  </si>
  <si>
    <t>Korea, Rep.</t>
  </si>
  <si>
    <t>KOR</t>
  </si>
  <si>
    <t>Kyrgyz Republic</t>
  </si>
  <si>
    <t>KGZ</t>
  </si>
  <si>
    <t>Lao PDR</t>
  </si>
  <si>
    <t>LAO</t>
  </si>
  <si>
    <t>Latvia</t>
  </si>
  <si>
    <t>LVA</t>
  </si>
  <si>
    <t>Lebanon</t>
  </si>
  <si>
    <t>LBN</t>
  </si>
  <si>
    <t>Lesotho</t>
  </si>
  <si>
    <t>LSO</t>
  </si>
  <si>
    <t>Liberia</t>
  </si>
  <si>
    <t>LBR</t>
  </si>
  <si>
    <t>Lithuania</t>
  </si>
  <si>
    <t>LTU</t>
  </si>
  <si>
    <t>Luxembourg</t>
  </si>
  <si>
    <t>LUX</t>
  </si>
  <si>
    <t>Macao SAR, China</t>
  </si>
  <si>
    <t>MAC</t>
  </si>
  <si>
    <t>Macedonia, FYR</t>
  </si>
  <si>
    <t>MKD</t>
  </si>
  <si>
    <t>Madagascar</t>
  </si>
  <si>
    <t>MDG</t>
  </si>
  <si>
    <t>Malawi</t>
  </si>
  <si>
    <t>MWI</t>
  </si>
  <si>
    <t>Malaysia</t>
  </si>
  <si>
    <t>MYS</t>
  </si>
  <si>
    <t>Maldives</t>
  </si>
  <si>
    <t>MDV</t>
  </si>
  <si>
    <t>Mali</t>
  </si>
  <si>
    <t>MLI</t>
  </si>
  <si>
    <t>Malta</t>
  </si>
  <si>
    <t>MLT</t>
  </si>
  <si>
    <t>Mauritania</t>
  </si>
  <si>
    <t>MRT</t>
  </si>
  <si>
    <t>Mauritius</t>
  </si>
  <si>
    <t>MUS</t>
  </si>
  <si>
    <t>Mexico</t>
  </si>
  <si>
    <t>MEX</t>
  </si>
  <si>
    <t>Micronesia, Fed. Sts.</t>
  </si>
  <si>
    <t>FSM</t>
  </si>
  <si>
    <t>Moldova</t>
  </si>
  <si>
    <t>MDA</t>
  </si>
  <si>
    <t>Mongolia</t>
  </si>
  <si>
    <t>MNG</t>
  </si>
  <si>
    <t>Montenegro</t>
  </si>
  <si>
    <t>MNE</t>
  </si>
  <si>
    <t>Morocco</t>
  </si>
  <si>
    <t>MAR</t>
  </si>
  <si>
    <t>Mozambique</t>
  </si>
  <si>
    <t>MOZ</t>
  </si>
  <si>
    <t>Myanmar</t>
  </si>
  <si>
    <t>MMR</t>
  </si>
  <si>
    <t>Namibia</t>
  </si>
  <si>
    <t>NAM</t>
  </si>
  <si>
    <t>Nepal</t>
  </si>
  <si>
    <t>NPL</t>
  </si>
  <si>
    <t>Netherlands</t>
  </si>
  <si>
    <t>NLD</t>
  </si>
  <si>
    <t>New Zealand</t>
  </si>
  <si>
    <t>NZL</t>
  </si>
  <si>
    <t>Nicaragua</t>
  </si>
  <si>
    <t>NIC</t>
  </si>
  <si>
    <t>Niger</t>
  </si>
  <si>
    <t>NER</t>
  </si>
  <si>
    <t>Nigeria</t>
  </si>
  <si>
    <t>NGA</t>
  </si>
  <si>
    <t>Norway</t>
  </si>
  <si>
    <t>NOR</t>
  </si>
  <si>
    <t>Pakistan</t>
  </si>
  <si>
    <t>PAK</t>
  </si>
  <si>
    <t>Palau</t>
  </si>
  <si>
    <t>PLW</t>
  </si>
  <si>
    <t>Panama</t>
  </si>
  <si>
    <t>PAN</t>
  </si>
  <si>
    <t>Papua New Guinea</t>
  </si>
  <si>
    <t>PNG</t>
  </si>
  <si>
    <t>Paraguay</t>
  </si>
  <si>
    <t>PRY</t>
  </si>
  <si>
    <t>Peru</t>
  </si>
  <si>
    <t>PER</t>
  </si>
  <si>
    <t>Philippines</t>
  </si>
  <si>
    <t>PHL</t>
  </si>
  <si>
    <t>Poland</t>
  </si>
  <si>
    <t>POL</t>
  </si>
  <si>
    <t>Portugal</t>
  </si>
  <si>
    <t>PRT</t>
  </si>
  <si>
    <t>Puerto Rico</t>
  </si>
  <si>
    <t>PRI</t>
  </si>
  <si>
    <t>Qatar</t>
  </si>
  <si>
    <t>QAT</t>
  </si>
  <si>
    <t>Romania</t>
  </si>
  <si>
    <t>ROU</t>
  </si>
  <si>
    <t>Russian Federation</t>
  </si>
  <si>
    <t>RUS</t>
  </si>
  <si>
    <t>Rwanda</t>
  </si>
  <si>
    <t>RWA</t>
  </si>
  <si>
    <t>Samoa</t>
  </si>
  <si>
    <t>WSM</t>
  </si>
  <si>
    <t>Sao Tome and Principe</t>
  </si>
  <si>
    <t>STP</t>
  </si>
  <si>
    <t>Saudi Arabia</t>
  </si>
  <si>
    <t>SAU</t>
  </si>
  <si>
    <t>Senegal</t>
  </si>
  <si>
    <t>SEN</t>
  </si>
  <si>
    <t>Serbia</t>
  </si>
  <si>
    <t>SRB</t>
  </si>
  <si>
    <t>Seychelles</t>
  </si>
  <si>
    <t>SYC</t>
  </si>
  <si>
    <t>Sierra Leone</t>
  </si>
  <si>
    <t>SLE</t>
  </si>
  <si>
    <t>Singapore</t>
  </si>
  <si>
    <t>SGP</t>
  </si>
  <si>
    <t>Slovak Republic</t>
  </si>
  <si>
    <t>SVK</t>
  </si>
  <si>
    <t>Slovenia</t>
  </si>
  <si>
    <t>SVN</t>
  </si>
  <si>
    <t>Solomon Islands</t>
  </si>
  <si>
    <t>SLB</t>
  </si>
  <si>
    <t>Somalia</t>
  </si>
  <si>
    <t>SOM</t>
  </si>
  <si>
    <t>South Africa</t>
  </si>
  <si>
    <t>ZAF</t>
  </si>
  <si>
    <t>Spain</t>
  </si>
  <si>
    <t>ESP</t>
  </si>
  <si>
    <t>Sri Lanka</t>
  </si>
  <si>
    <t>LKA</t>
  </si>
  <si>
    <t>St. Kitts and Nevis</t>
  </si>
  <si>
    <t>KNA</t>
  </si>
  <si>
    <t>St. Lucia</t>
  </si>
  <si>
    <t>LCA</t>
  </si>
  <si>
    <t>St. Vincent and the Grenadines</t>
  </si>
  <si>
    <t>VCT</t>
  </si>
  <si>
    <t>Sudan</t>
  </si>
  <si>
    <t>SDN</t>
  </si>
  <si>
    <t>Suriname</t>
  </si>
  <si>
    <t>SUR</t>
  </si>
  <si>
    <t>Swaziland</t>
  </si>
  <si>
    <t>SWZ</t>
  </si>
  <si>
    <t>Sweden</t>
  </si>
  <si>
    <t>SWE</t>
  </si>
  <si>
    <t>Switzerland</t>
  </si>
  <si>
    <t>CHE</t>
  </si>
  <si>
    <t>Syrian Arab Republic</t>
  </si>
  <si>
    <t>SYR</t>
  </si>
  <si>
    <t>Taiwan</t>
  </si>
  <si>
    <t>TWN</t>
  </si>
  <si>
    <t>Tajikistan</t>
  </si>
  <si>
    <t>TJK</t>
  </si>
  <si>
    <t>Tanzania</t>
  </si>
  <si>
    <t>TZA</t>
  </si>
  <si>
    <t>Thailand</t>
  </si>
  <si>
    <t>THA</t>
  </si>
  <si>
    <t>Timor-Leste</t>
  </si>
  <si>
    <t>TLS</t>
  </si>
  <si>
    <t>Togo</t>
  </si>
  <si>
    <t>TGO</t>
  </si>
  <si>
    <t>Tonga</t>
  </si>
  <si>
    <t>TON</t>
  </si>
  <si>
    <t>Trinidad and Tobago</t>
  </si>
  <si>
    <t>TTO</t>
  </si>
  <si>
    <t>Tunisia</t>
  </si>
  <si>
    <t>TUN</t>
  </si>
  <si>
    <t>Turkey</t>
  </si>
  <si>
    <t>TUR</t>
  </si>
  <si>
    <t>Turkmenistan</t>
  </si>
  <si>
    <t>TKM</t>
  </si>
  <si>
    <t>Uganda</t>
  </si>
  <si>
    <t>UGA</t>
  </si>
  <si>
    <t>Ukraine</t>
  </si>
  <si>
    <t>UKR</t>
  </si>
  <si>
    <t>United Arab Emirates</t>
  </si>
  <si>
    <t>ARE</t>
  </si>
  <si>
    <t>United Kingdom</t>
  </si>
  <si>
    <t>GBR</t>
  </si>
  <si>
    <t>United States</t>
  </si>
  <si>
    <t>USA</t>
  </si>
  <si>
    <t>Uruguay</t>
  </si>
  <si>
    <t>URY</t>
  </si>
  <si>
    <t>Uzbekistan</t>
  </si>
  <si>
    <t>UZB</t>
  </si>
  <si>
    <t>Vanuatu</t>
  </si>
  <si>
    <t>VUT</t>
  </si>
  <si>
    <t>Venezuela, RB</t>
  </si>
  <si>
    <t>VEN</t>
  </si>
  <si>
    <t>Vietnam</t>
  </si>
  <si>
    <t>VNM</t>
  </si>
  <si>
    <t>West Bank and Gaza</t>
  </si>
  <si>
    <t>PSE</t>
  </si>
  <si>
    <t>Yemen, Rep.</t>
  </si>
  <si>
    <t>YEM</t>
  </si>
  <si>
    <t>Zambia</t>
  </si>
  <si>
    <t>ZMB</t>
  </si>
  <si>
    <t>Zimbabwe</t>
  </si>
  <si>
    <t>ZWE</t>
  </si>
  <si>
    <t>Kosovo</t>
  </si>
  <si>
    <t>XKX</t>
  </si>
  <si>
    <t>Aruba</t>
  </si>
  <si>
    <t>ABW</t>
  </si>
  <si>
    <t>Andorra</t>
  </si>
  <si>
    <t>AND</t>
  </si>
  <si>
    <t>Bahrain</t>
  </si>
  <si>
    <t>BHR</t>
  </si>
  <si>
    <t>Bermuda</t>
  </si>
  <si>
    <t>BMU</t>
  </si>
  <si>
    <t>Cayman Islands</t>
  </si>
  <si>
    <t>CYM</t>
  </si>
  <si>
    <t>Eritrea</t>
  </si>
  <si>
    <t>ERI</t>
  </si>
  <si>
    <t>Greenland</t>
  </si>
  <si>
    <t>GRL</t>
  </si>
  <si>
    <t>Kuwait</t>
  </si>
  <si>
    <t>KWT</t>
  </si>
  <si>
    <t>Libya</t>
  </si>
  <si>
    <t>LBY</t>
  </si>
  <si>
    <t>Liechtenstein</t>
  </si>
  <si>
    <t>LIE</t>
  </si>
  <si>
    <t>Monaco</t>
  </si>
  <si>
    <t>MCO</t>
  </si>
  <si>
    <t>New Caledonia</t>
  </si>
  <si>
    <t>NCL</t>
  </si>
  <si>
    <t>Oman</t>
  </si>
  <si>
    <t>OMN</t>
  </si>
  <si>
    <t>North Korea</t>
  </si>
  <si>
    <t>PRK</t>
  </si>
  <si>
    <t>French Polynesia</t>
  </si>
  <si>
    <t>PYF</t>
  </si>
  <si>
    <t>South Sudan</t>
  </si>
  <si>
    <t>SSD</t>
  </si>
  <si>
    <t>San Marino</t>
  </si>
  <si>
    <t>SMR</t>
  </si>
  <si>
    <t>British Virgin Islands</t>
  </si>
  <si>
    <t>VGB</t>
  </si>
  <si>
    <t>No</t>
  </si>
  <si>
    <t>Numbeo Country name</t>
  </si>
  <si>
    <t>Country WB</t>
  </si>
  <si>
    <t>Country_Code</t>
  </si>
  <si>
    <t>City</t>
  </si>
  <si>
    <t>World Bank Income Level</t>
  </si>
  <si>
    <t xml:space="preserve"> RURAL
LW for a Typical family [USD/year]</t>
  </si>
  <si>
    <t>URBAN
LW for a Typical family [USD/year]</t>
  </si>
  <si>
    <t>Average LW Typical family [USD/year]</t>
  </si>
  <si>
    <t xml:space="preserve"> RURAL
LW for a Standard family [USD/year]</t>
  </si>
  <si>
    <t>URBAN
LW for a Standard Family [USD/year]</t>
  </si>
  <si>
    <t xml:space="preserve"> RURAL
LW for a Single Individual [USD/year]</t>
  </si>
  <si>
    <t>URBAN
LW for a Single Individual [USD/year]</t>
  </si>
  <si>
    <t xml:space="preserve"> RURAL
LW for a Single working parent [USD/year]</t>
  </si>
  <si>
    <t xml:space="preserve"> URBAN
LW for a Single working parent [USD/year]</t>
  </si>
  <si>
    <t>b</t>
  </si>
  <si>
    <t>a</t>
  </si>
  <si>
    <t>American Samoa</t>
  </si>
  <si>
    <t>ASM</t>
  </si>
  <si>
    <t>Bosnia And Herzegovina</t>
  </si>
  <si>
    <t>Channel Islands</t>
  </si>
  <si>
    <t>CHI</t>
  </si>
  <si>
    <t>Côte d’Ivoire</t>
  </si>
  <si>
    <t>Curaçao</t>
  </si>
  <si>
    <t>CUW</t>
  </si>
  <si>
    <t>Czechia</t>
  </si>
  <si>
    <t>Faroe Islands</t>
  </si>
  <si>
    <t>FRO</t>
  </si>
  <si>
    <t>Gibraltar</t>
  </si>
  <si>
    <t>GIB</t>
  </si>
  <si>
    <t>Guam</t>
  </si>
  <si>
    <t>GUM</t>
  </si>
  <si>
    <t>Isle of Man</t>
  </si>
  <si>
    <t>IMN</t>
  </si>
  <si>
    <t>St. Martin (French part)</t>
  </si>
  <si>
    <t>MAF</t>
  </si>
  <si>
    <t>Marshall Islands</t>
  </si>
  <si>
    <t>MHL</t>
  </si>
  <si>
    <t>North Macedonia</t>
  </si>
  <si>
    <t>Northern Mariana Islands</t>
  </si>
  <si>
    <t>MNP</t>
  </si>
  <si>
    <t>a/b</t>
  </si>
  <si>
    <t>Nauru</t>
  </si>
  <si>
    <t>NRU</t>
  </si>
  <si>
    <t>Korea, Dem. People's Rep.</t>
  </si>
  <si>
    <t>São Tomé and Príncipe</t>
  </si>
  <si>
    <t>Eswatini</t>
  </si>
  <si>
    <t>Sint Maarten (Dutch part)</t>
  </si>
  <si>
    <t>SXM</t>
  </si>
  <si>
    <t>Turks and Caicos Islands</t>
  </si>
  <si>
    <t>TCA</t>
  </si>
  <si>
    <t>Trinidad And Tobago</t>
  </si>
  <si>
    <t>Türkiye</t>
  </si>
  <si>
    <t>Tuvalu</t>
  </si>
  <si>
    <t>TUV</t>
  </si>
  <si>
    <t>Taiwan, China</t>
  </si>
  <si>
    <t>Virgin Islands (U.S.)</t>
  </si>
  <si>
    <t>VIR</t>
  </si>
  <si>
    <t>Alexandria, Egypt</t>
  </si>
  <si>
    <t>Egypt</t>
  </si>
  <si>
    <t>Rural</t>
  </si>
  <si>
    <t>Rawalpindi, Pakistan</t>
  </si>
  <si>
    <t>Rawalpindi</t>
  </si>
  <si>
    <t>Bhopal, India</t>
  </si>
  <si>
    <t>Bhopal</t>
  </si>
  <si>
    <t>c</t>
  </si>
  <si>
    <t>Karachi, Pakistan</t>
  </si>
  <si>
    <t>Karachi</t>
  </si>
  <si>
    <t>Bhubaneswar, India</t>
  </si>
  <si>
    <t>Bhubaneswar</t>
  </si>
  <si>
    <t>Indore, India</t>
  </si>
  <si>
    <t>Indore</t>
  </si>
  <si>
    <t>Nagpur, India</t>
  </si>
  <si>
    <t>Nagpur</t>
  </si>
  <si>
    <t>Coimbatore, India</t>
  </si>
  <si>
    <t>Coimbatore</t>
  </si>
  <si>
    <t>Dhaka, Bangladesh</t>
  </si>
  <si>
    <t>Dhaka</t>
  </si>
  <si>
    <t>Lahore, Pakistan</t>
  </si>
  <si>
    <t>Lahore</t>
  </si>
  <si>
    <t>Lucknow (Lakhnau), India</t>
  </si>
  <si>
    <t>Lucknow (Lakhnau)</t>
  </si>
  <si>
    <t>Kolkata, India</t>
  </si>
  <si>
    <t>Kolkata</t>
  </si>
  <si>
    <t>Vijayawada, India</t>
  </si>
  <si>
    <t>Vijayawada</t>
  </si>
  <si>
    <t>Rajkot, India</t>
  </si>
  <si>
    <t>Rajkot</t>
  </si>
  <si>
    <t>Cairo, Egypt</t>
  </si>
  <si>
    <t>Cairo</t>
  </si>
  <si>
    <t>Jaipur, India</t>
  </si>
  <si>
    <t>Jaipur</t>
  </si>
  <si>
    <t>Sousse, Tunisia</t>
  </si>
  <si>
    <t>Sousse</t>
  </si>
  <si>
    <t>Kathmandu, Nepal</t>
  </si>
  <si>
    <t>Kathmandu</t>
  </si>
  <si>
    <t>Agadir, Morocco</t>
  </si>
  <si>
    <t>Agadir</t>
  </si>
  <si>
    <t>Algiers, Algeria</t>
  </si>
  <si>
    <t>Algiers</t>
  </si>
  <si>
    <t>Kochi, India</t>
  </si>
  <si>
    <t>Kochi</t>
  </si>
  <si>
    <t>Islamabad, Pakistan</t>
  </si>
  <si>
    <t>Islamabad</t>
  </si>
  <si>
    <t>Ahmedabad, India</t>
  </si>
  <si>
    <t>Ahmedabad</t>
  </si>
  <si>
    <t>Chennai, India</t>
  </si>
  <si>
    <t>Chennai</t>
  </si>
  <si>
    <t>Voronezh, Russia</t>
  </si>
  <si>
    <t>Russia</t>
  </si>
  <si>
    <t>Voronezh</t>
  </si>
  <si>
    <t>Tunis, Tunisia</t>
  </si>
  <si>
    <t>Tunis</t>
  </si>
  <si>
    <t>Raipur, India</t>
  </si>
  <si>
    <t>Raipur</t>
  </si>
  <si>
    <t>Kayseri, Turkey</t>
  </si>
  <si>
    <t>Kayseri</t>
  </si>
  <si>
    <t>Vinnytsia, Ukraine</t>
  </si>
  <si>
    <t>Vinnytsia</t>
  </si>
  <si>
    <t>Ufa, Russia</t>
  </si>
  <si>
    <t>Ufa</t>
  </si>
  <si>
    <t>Noida, India</t>
  </si>
  <si>
    <t>Noida</t>
  </si>
  <si>
    <t>Hyderabad, India</t>
  </si>
  <si>
    <t>Hyderabad</t>
  </si>
  <si>
    <t>Chelyabinsk, Russia</t>
  </si>
  <si>
    <t>Chelyabinsk</t>
  </si>
  <si>
    <t>Odessa (Odesa), Ukraine</t>
  </si>
  <si>
    <t>Odessa (Odesa)</t>
  </si>
  <si>
    <t>Chengdu, China</t>
  </si>
  <si>
    <t>Chengdu</t>
  </si>
  <si>
    <t>Yaroslavl, Russia</t>
  </si>
  <si>
    <t>Yaroslavl</t>
  </si>
  <si>
    <t>Konya, Turkey</t>
  </si>
  <si>
    <t>Konya</t>
  </si>
  <si>
    <t>Delhi, India</t>
  </si>
  <si>
    <t>Delhi</t>
  </si>
  <si>
    <t>Banja Luka, Bosnia And Herzegovina</t>
  </si>
  <si>
    <t>Banja Luka</t>
  </si>
  <si>
    <t>Saint Petersburg, Russia</t>
  </si>
  <si>
    <t>Saint Petersburg</t>
  </si>
  <si>
    <t>Pune, India</t>
  </si>
  <si>
    <t>Pune</t>
  </si>
  <si>
    <t>Sarajevo, Bosnia And Herzegovina</t>
  </si>
  <si>
    <t>Sarajevo</t>
  </si>
  <si>
    <t>Suceava, Romania</t>
  </si>
  <si>
    <t>Suceava</t>
  </si>
  <si>
    <t>Cali, Colombia</t>
  </si>
  <si>
    <t>Cali</t>
  </si>
  <si>
    <t>Navi Mumbai, India</t>
  </si>
  <si>
    <t>Navi Mumbai</t>
  </si>
  <si>
    <t>Aydin, Turkey</t>
  </si>
  <si>
    <t>Aydin</t>
  </si>
  <si>
    <t>Nis, Serbia</t>
  </si>
  <si>
    <t>Nis</t>
  </si>
  <si>
    <t>Wuhan, China</t>
  </si>
  <si>
    <t>Wuhan</t>
  </si>
  <si>
    <t>Adana, Turkey</t>
  </si>
  <si>
    <t>Adana</t>
  </si>
  <si>
    <t>Colombo, Sri Lanka</t>
  </si>
  <si>
    <t>Colombo</t>
  </si>
  <si>
    <t>Skopje, North Macedonia</t>
  </si>
  <si>
    <t>Skopje</t>
  </si>
  <si>
    <t>Balikesir, Turkey</t>
  </si>
  <si>
    <t>Balikesir</t>
  </si>
  <si>
    <t>Casablanca, Morocco</t>
  </si>
  <si>
    <t>Casablanca</t>
  </si>
  <si>
    <t>Fortaleza, Brazil</t>
  </si>
  <si>
    <t>Fortaleza</t>
  </si>
  <si>
    <t>New Cairo, Egypt</t>
  </si>
  <si>
    <t>New Cairo</t>
  </si>
  <si>
    <t>Baku, Azerbaijan</t>
  </si>
  <si>
    <t>Baku</t>
  </si>
  <si>
    <t>Bursa, Turkey</t>
  </si>
  <si>
    <t>Bursa</t>
  </si>
  <si>
    <t>Kazan, Russia</t>
  </si>
  <si>
    <t>Kazan</t>
  </si>
  <si>
    <t>Tangier, Morocco</t>
  </si>
  <si>
    <t>Tangier</t>
  </si>
  <si>
    <t>Gurgaon, India</t>
  </si>
  <si>
    <t>Gurgaon</t>
  </si>
  <si>
    <t>Belo Horizonte, Brazil</t>
  </si>
  <si>
    <t>Belo Horizonte</t>
  </si>
  <si>
    <t>Burgas, Bulgaria</t>
  </si>
  <si>
    <t>Burgas</t>
  </si>
  <si>
    <t>Eskisehir, Turkey</t>
  </si>
  <si>
    <t>Eskisehir</t>
  </si>
  <si>
    <t>Pristina, Kosovo (Disputed Territory)</t>
  </si>
  <si>
    <t>Kosovo (Disputed Territory)</t>
  </si>
  <si>
    <t>Pristina</t>
  </si>
  <si>
    <t>Goa, India</t>
  </si>
  <si>
    <t>Goa</t>
  </si>
  <si>
    <t>Krasnodar, Russia</t>
  </si>
  <si>
    <t>Krasnodar</t>
  </si>
  <si>
    <t>Timisoara, Romania</t>
  </si>
  <si>
    <t>Timisoara</t>
  </si>
  <si>
    <t>Amman, Jordan</t>
  </si>
  <si>
    <t>Amman</t>
  </si>
  <si>
    <t>Bangalore, India</t>
  </si>
  <si>
    <t>Bangalore</t>
  </si>
  <si>
    <t>Athens, Greece</t>
  </si>
  <si>
    <t>Athens</t>
  </si>
  <si>
    <t>Porto Alegre, Brazil</t>
  </si>
  <si>
    <t>Porto Alegre</t>
  </si>
  <si>
    <t>Sibiu, Romania</t>
  </si>
  <si>
    <t>Sibiu</t>
  </si>
  <si>
    <t>Kocaeli, Turkey</t>
  </si>
  <si>
    <t>Kocaeli</t>
  </si>
  <si>
    <t>Naples, FL, United States</t>
  </si>
  <si>
    <t>Naples</t>
  </si>
  <si>
    <t>Erbil (Irbil), Iraq</t>
  </si>
  <si>
    <t>Erbil (Irbil)</t>
  </si>
  <si>
    <t>Iasi, Romania</t>
  </si>
  <si>
    <t>Iasi</t>
  </si>
  <si>
    <t>Bogota, Colombia</t>
  </si>
  <si>
    <t>Bogota</t>
  </si>
  <si>
    <t>Curitiba, Brazil</t>
  </si>
  <si>
    <t>Curitiba</t>
  </si>
  <si>
    <t>Plovdiv, Bulgaria</t>
  </si>
  <si>
    <t>Plovdiv</t>
  </si>
  <si>
    <t>Rabat, Morocco</t>
  </si>
  <si>
    <t>Rabat</t>
  </si>
  <si>
    <t>Sao Jose dos Campos, Brazil</t>
  </si>
  <si>
    <t>Sao Jose dos Campos</t>
  </si>
  <si>
    <t>Minsk, Belarus</t>
  </si>
  <si>
    <t>Minsk</t>
  </si>
  <si>
    <t>Thane, India</t>
  </si>
  <si>
    <t>Thane</t>
  </si>
  <si>
    <t>Nairobi, Kenya</t>
  </si>
  <si>
    <t>Nairobi</t>
  </si>
  <si>
    <t>Patras, Greece</t>
  </si>
  <si>
    <t>Patras</t>
  </si>
  <si>
    <t>Brasilia, Brazil</t>
  </si>
  <si>
    <t>Brasilia</t>
  </si>
  <si>
    <t>Tirana, Albania</t>
  </si>
  <si>
    <t>Tirana</t>
  </si>
  <si>
    <t>Kiev (Kyiv), Ukraine</t>
  </si>
  <si>
    <t>Kiev (Kyiv)</t>
  </si>
  <si>
    <t>Mersin, Turkey</t>
  </si>
  <si>
    <t>Mersin</t>
  </si>
  <si>
    <t>Kuala Lumpur, Malaysia</t>
  </si>
  <si>
    <t>Kuala Lumpur</t>
  </si>
  <si>
    <t>Bishkek, Kyrgyzstan</t>
  </si>
  <si>
    <t>Kyrgyzstan</t>
  </si>
  <si>
    <t>Bishkek</t>
  </si>
  <si>
    <t>Buenos Aires, Argentina</t>
  </si>
  <si>
    <t>Buenos Aires</t>
  </si>
  <si>
    <t>Durban, South Africa</t>
  </si>
  <si>
    <t>Durban</t>
  </si>
  <si>
    <t>Debrecen, Hungary</t>
  </si>
  <si>
    <t>Debrecen</t>
  </si>
  <si>
    <t>Ankara, Turkey</t>
  </si>
  <si>
    <t>Ankara</t>
  </si>
  <si>
    <t>Izmir, Turkey</t>
  </si>
  <si>
    <t>Izmir</t>
  </si>
  <si>
    <t>Yekaterinburg, Russia</t>
  </si>
  <si>
    <t>Yekaterinburg</t>
  </si>
  <si>
    <t>Phnom Penh, Cambodia</t>
  </si>
  <si>
    <t>Phnom Penh</t>
  </si>
  <si>
    <t>Johannesburg, South Africa</t>
  </si>
  <si>
    <t>Johannesburg</t>
  </si>
  <si>
    <t>Brasov, Romania</t>
  </si>
  <si>
    <t>Brasov</t>
  </si>
  <si>
    <t>Lima, Peru</t>
  </si>
  <si>
    <t>Lima</t>
  </si>
  <si>
    <t>Asuncion, Paraguay</t>
  </si>
  <si>
    <t>Asuncion</t>
  </si>
  <si>
    <t>Riga, Latvia</t>
  </si>
  <si>
    <t>Riga</t>
  </si>
  <si>
    <t>Sofia, Bulgaria</t>
  </si>
  <si>
    <t>Sofia</t>
  </si>
  <si>
    <t>Chisinau, Moldova</t>
  </si>
  <si>
    <t>Chisinau</t>
  </si>
  <si>
    <t>Vladivostok, Russia</t>
  </si>
  <si>
    <t>Vladivostok</t>
  </si>
  <si>
    <t>Pretoria, South Africa</t>
  </si>
  <si>
    <t>Pretoria</t>
  </si>
  <si>
    <t>Concepcion, Chile</t>
  </si>
  <si>
    <t>Concepcion</t>
  </si>
  <si>
    <t>Astana (Nur0Sultan), Kazakhstan</t>
  </si>
  <si>
    <t>Astana (Nur0Sultan)</t>
  </si>
  <si>
    <t>Jeddah (Jiddah), Saudi Arabia</t>
  </si>
  <si>
    <t>Jeddah (Jiddah)</t>
  </si>
  <si>
    <t>Bucharest, Romania</t>
  </si>
  <si>
    <t>Bucharest</t>
  </si>
  <si>
    <t>Kaohsiung, Taiwan</t>
  </si>
  <si>
    <t>Kaohsiung</t>
  </si>
  <si>
    <t>Varna, Bulgaria</t>
  </si>
  <si>
    <t>Varna</t>
  </si>
  <si>
    <t>Tehran, Iran</t>
  </si>
  <si>
    <t>Iran</t>
  </si>
  <si>
    <t>Tehran</t>
  </si>
  <si>
    <t>Osijek, Croatia</t>
  </si>
  <si>
    <t>Osijek</t>
  </si>
  <si>
    <t>Guangzhou, China</t>
  </si>
  <si>
    <t>Guangzhou</t>
  </si>
  <si>
    <t>Ho Chi Minh City, Vietnam</t>
  </si>
  <si>
    <t>Ho Chi Minh City</t>
  </si>
  <si>
    <t>Manila, Philippines</t>
  </si>
  <si>
    <t>Manila</t>
  </si>
  <si>
    <t>Cluj0Napoca, Romania</t>
  </si>
  <si>
    <t>Cluj0Napoca</t>
  </si>
  <si>
    <t>Sao Paulo, Brazil</t>
  </si>
  <si>
    <t>Sao Paulo</t>
  </si>
  <si>
    <t>Thessaloniki, Greece</t>
  </si>
  <si>
    <t>Thessaloniki</t>
  </si>
  <si>
    <t>Tashkent, Uzbekistan</t>
  </si>
  <si>
    <t>Tashkent</t>
  </si>
  <si>
    <t>Hanoi, Vietnam</t>
  </si>
  <si>
    <t>Hanoi</t>
  </si>
  <si>
    <t>Tarragona, Spain</t>
  </si>
  <si>
    <t>Tarragona</t>
  </si>
  <si>
    <t>Katowice, Poland</t>
  </si>
  <si>
    <t>Katowice</t>
  </si>
  <si>
    <t>Medellin, Colombia</t>
  </si>
  <si>
    <t>Medellin</t>
  </si>
  <si>
    <t>Florianopolis, Brazil</t>
  </si>
  <si>
    <t>Florianopolis</t>
  </si>
  <si>
    <t>Rijeka, Croatia</t>
  </si>
  <si>
    <t>Rijeka</t>
  </si>
  <si>
    <t>Novi Sad, Serbia</t>
  </si>
  <si>
    <t>Novi Sad</t>
  </si>
  <si>
    <t>Rio de Janeiro, Brazil</t>
  </si>
  <si>
    <t>Rio de Janeiro</t>
  </si>
  <si>
    <t>Heraklion, Greece</t>
  </si>
  <si>
    <t>Heraklion</t>
  </si>
  <si>
    <t>Palermo, Italy</t>
  </si>
  <si>
    <t>Palermo</t>
  </si>
  <si>
    <t>Merida, Mexico</t>
  </si>
  <si>
    <t>Merida</t>
  </si>
  <si>
    <t>Plzen, Czech Republic</t>
  </si>
  <si>
    <t>Plzen</t>
  </si>
  <si>
    <t>Montevideo, Uruguay</t>
  </si>
  <si>
    <t>Montevideo</t>
  </si>
  <si>
    <t>Batumi, Ajara, Georgia</t>
  </si>
  <si>
    <t>Batumi</t>
  </si>
  <si>
    <t>Tartu, Estonia</t>
  </si>
  <si>
    <t>Tartu</t>
  </si>
  <si>
    <t>Vina del Mar, Chile</t>
  </si>
  <si>
    <t>Vina del Mar</t>
  </si>
  <si>
    <t>Kaunas, Lithuania</t>
  </si>
  <si>
    <t>Kaunas</t>
  </si>
  <si>
    <t>Ulaanbaatar, Mongolia</t>
  </si>
  <si>
    <t>Ulaanbaatar</t>
  </si>
  <si>
    <t>Kosice, Slovakia</t>
  </si>
  <si>
    <t>Slovakia</t>
  </si>
  <si>
    <t>Kosice</t>
  </si>
  <si>
    <t>Podgorica, Montenegro</t>
  </si>
  <si>
    <t>Podgorica</t>
  </si>
  <si>
    <t>Birmingham, United Kingdom</t>
  </si>
  <si>
    <t>Birmingham</t>
  </si>
  <si>
    <t>Guadalajara, Mexico</t>
  </si>
  <si>
    <t>Guadalajara</t>
  </si>
  <si>
    <t>Cape Town, South Africa</t>
  </si>
  <si>
    <t>Cape Town</t>
  </si>
  <si>
    <t>Vigo, Spain</t>
  </si>
  <si>
    <t>Vigo</t>
  </si>
  <si>
    <t>Fethiye, Turkey</t>
  </si>
  <si>
    <t>Fethiye</t>
  </si>
  <si>
    <t>Taichung, Taiwan</t>
  </si>
  <si>
    <t>Taichung</t>
  </si>
  <si>
    <t>Poznan, Poland</t>
  </si>
  <si>
    <t>Poznan</t>
  </si>
  <si>
    <t>Seville (Sevilla), Spain</t>
  </si>
  <si>
    <t>Seville (Sevilla)</t>
  </si>
  <si>
    <t>Bangkok, Thailand</t>
  </si>
  <si>
    <t>Bangkok</t>
  </si>
  <si>
    <t>Budapest, Hungary</t>
  </si>
  <si>
    <t>Budapest</t>
  </si>
  <si>
    <t>Tallinn, Estonia</t>
  </si>
  <si>
    <t>Tallinn</t>
  </si>
  <si>
    <t>Ostrava, Czech Republic</t>
  </si>
  <si>
    <t>Ostrava</t>
  </si>
  <si>
    <t>Mumbai, India</t>
  </si>
  <si>
    <t>Mumbai</t>
  </si>
  <si>
    <t>Belgrade, Serbia</t>
  </si>
  <si>
    <t>Belgrade</t>
  </si>
  <si>
    <t>Split, Croatia</t>
  </si>
  <si>
    <t>Split</t>
  </si>
  <si>
    <t>Muscat, Oman</t>
  </si>
  <si>
    <t>Muscat</t>
  </si>
  <si>
    <t>Zagreb, Croatia</t>
  </si>
  <si>
    <t>Zagreb</t>
  </si>
  <si>
    <t>Santiago, Chile</t>
  </si>
  <si>
    <t>Santiago</t>
  </si>
  <si>
    <t>Gdansk, Poland</t>
  </si>
  <si>
    <t>Gdansk</t>
  </si>
  <si>
    <t>Antalya, Turkey</t>
  </si>
  <si>
    <t>Antalya</t>
  </si>
  <si>
    <t>Istanbul, Turkey</t>
  </si>
  <si>
    <t>Istanbul</t>
  </si>
  <si>
    <t>Alanya, Turkey</t>
  </si>
  <si>
    <t>Alanya</t>
  </si>
  <si>
    <t>Coimbra, Portugal</t>
  </si>
  <si>
    <t>Coimbra</t>
  </si>
  <si>
    <t>Herceg Novi, Montenegro</t>
  </si>
  <si>
    <t>Herceg Novi</t>
  </si>
  <si>
    <t>Portimao, Portugal</t>
  </si>
  <si>
    <t>Portimao</t>
  </si>
  <si>
    <t>Suzhou, China</t>
  </si>
  <si>
    <t>Suzhou</t>
  </si>
  <si>
    <t>Shenzhen, China</t>
  </si>
  <si>
    <t>Shenzhen</t>
  </si>
  <si>
    <t>Aveiro, Portugal</t>
  </si>
  <si>
    <t>Aveiro</t>
  </si>
  <si>
    <t>Bratislava, Slovakia</t>
  </si>
  <si>
    <t>Bratislava</t>
  </si>
  <si>
    <t>Turin, Italy</t>
  </si>
  <si>
    <t>Turin</t>
  </si>
  <si>
    <t>Cagliari, Italy</t>
  </si>
  <si>
    <t>Cagliari</t>
  </si>
  <si>
    <t>Alicante, Spain</t>
  </si>
  <si>
    <t>Alicante</t>
  </si>
  <si>
    <t>Rimini, Italy</t>
  </si>
  <si>
    <t>Rimini</t>
  </si>
  <si>
    <t>Tbilisi, Georgia</t>
  </si>
  <si>
    <t>Tbilisi</t>
  </si>
  <si>
    <t>Braga, Portugal</t>
  </si>
  <si>
    <t>Braga</t>
  </si>
  <si>
    <t>Brno, Czech Republic</t>
  </si>
  <si>
    <t>Brno</t>
  </si>
  <si>
    <t>Tijuana, Mexico</t>
  </si>
  <si>
    <t>Tijuana</t>
  </si>
  <si>
    <t>Vilnius, Lithuania</t>
  </si>
  <si>
    <t>Vilnius</t>
  </si>
  <si>
    <t>Wroclaw, Poland</t>
  </si>
  <si>
    <t>Wroclaw</t>
  </si>
  <si>
    <t>Moscow, Russia</t>
  </si>
  <si>
    <t>Moscow</t>
  </si>
  <si>
    <t>Riyadh, Saudi Arabia</t>
  </si>
  <si>
    <t>Riyadh</t>
  </si>
  <si>
    <t>Beirut, Lebanon</t>
  </si>
  <si>
    <t>Beirut</t>
  </si>
  <si>
    <t>Hanover, Germany</t>
  </si>
  <si>
    <t>Hanover</t>
  </si>
  <si>
    <t>Parma, Italy</t>
  </si>
  <si>
    <t>Parma</t>
  </si>
  <si>
    <t>Malmo, Sweden</t>
  </si>
  <si>
    <t>Malmo</t>
  </si>
  <si>
    <t>Port of Spain, Trinidad And Tobago</t>
  </si>
  <si>
    <t>Port of Spain</t>
  </si>
  <si>
    <t>Almaty, Kazakhstan</t>
  </si>
  <si>
    <t>Almaty</t>
  </si>
  <si>
    <t>Valencia, Spain</t>
  </si>
  <si>
    <t>Valencia</t>
  </si>
  <si>
    <t>Krakow (Cracow), Poland</t>
  </si>
  <si>
    <t>Krakow (Cracow)</t>
  </si>
  <si>
    <t>Douala, Cameroon</t>
  </si>
  <si>
    <t>Douala</t>
  </si>
  <si>
    <t>Gothenburg, Sweden</t>
  </si>
  <si>
    <t>Gothenburg</t>
  </si>
  <si>
    <t>Yerevan, Armenia</t>
  </si>
  <si>
    <t>Yerevan</t>
  </si>
  <si>
    <t>Cambridge, MA, United States</t>
  </si>
  <si>
    <t>Cambridge</t>
  </si>
  <si>
    <t>Haifa, Israel</t>
  </si>
  <si>
    <t>Haifa</t>
  </si>
  <si>
    <t>Santo Domingo, Dominican Republic</t>
  </si>
  <si>
    <t>Santo Domingo</t>
  </si>
  <si>
    <t>Dresden, Germany</t>
  </si>
  <si>
    <t>Dresden</t>
  </si>
  <si>
    <t>Essen, Germany</t>
  </si>
  <si>
    <t>Essen</t>
  </si>
  <si>
    <t>Playa del Carmen, Mexico</t>
  </si>
  <si>
    <t>Playa del Carmen</t>
  </si>
  <si>
    <t>Manama, Bahrain</t>
  </si>
  <si>
    <t>Manama</t>
  </si>
  <si>
    <t>Linz, Austria</t>
  </si>
  <si>
    <t>Linz</t>
  </si>
  <si>
    <t>Nicosia, Cyprus</t>
  </si>
  <si>
    <t>Nicosia</t>
  </si>
  <si>
    <t>Sharjah, United Arab Emirates</t>
  </si>
  <si>
    <t>Sharjah</t>
  </si>
  <si>
    <t>Aachen, Germany</t>
  </si>
  <si>
    <t>Aachen</t>
  </si>
  <si>
    <t>Puerto Vallarta, Mexico</t>
  </si>
  <si>
    <t>Puerto Vallarta</t>
  </si>
  <si>
    <t>St. John's, Newfoundland and Labrador, Canada</t>
  </si>
  <si>
    <t>St. John's</t>
  </si>
  <si>
    <t>Belfast, United Kingdom</t>
  </si>
  <si>
    <t>Belfast</t>
  </si>
  <si>
    <t>Mexico City, Mexico</t>
  </si>
  <si>
    <t>Mexico City</t>
  </si>
  <si>
    <t>Tokyo, Japan</t>
  </si>
  <si>
    <t>Tokyo</t>
  </si>
  <si>
    <t>Monterrey, Mexico</t>
  </si>
  <si>
    <t>Monterrey</t>
  </si>
  <si>
    <t>Beijing, China</t>
  </si>
  <si>
    <t>Beijing</t>
  </si>
  <si>
    <t>Surat, India</t>
  </si>
  <si>
    <t>Surat</t>
  </si>
  <si>
    <t>Taipei, Taiwan</t>
  </si>
  <si>
    <t>Taipei</t>
  </si>
  <si>
    <t>Newcastle upon Tyne, United Kingdom</t>
  </si>
  <si>
    <t>Newcastle upon Tyne</t>
  </si>
  <si>
    <t>Moncton, Canada</t>
  </si>
  <si>
    <t>Moncton</t>
  </si>
  <si>
    <t>Padova, Italy</t>
  </si>
  <si>
    <t>Padova</t>
  </si>
  <si>
    <t>Ljubljana, Slovenia</t>
  </si>
  <si>
    <t>Ljubljana</t>
  </si>
  <si>
    <t>Warsaw, Poland</t>
  </si>
  <si>
    <t>Warsaw</t>
  </si>
  <si>
    <t>Cologne, Germany</t>
  </si>
  <si>
    <t>Cologne</t>
  </si>
  <si>
    <t>Quebec City, Canada</t>
  </si>
  <si>
    <t>Quebec City</t>
  </si>
  <si>
    <t>Lyon, France</t>
  </si>
  <si>
    <t>Lyon</t>
  </si>
  <si>
    <t>Bologna, Italy</t>
  </si>
  <si>
    <t>Bologna</t>
  </si>
  <si>
    <t>Porto, Portugal</t>
  </si>
  <si>
    <t>Porto</t>
  </si>
  <si>
    <t>Edmonton, Canada</t>
  </si>
  <si>
    <t>Edmonton</t>
  </si>
  <si>
    <t>Aberdeen, United Kingdom</t>
  </si>
  <si>
    <t>Aberdeen</t>
  </si>
  <si>
    <t>Malaga, Spain</t>
  </si>
  <si>
    <t>Malaga</t>
  </si>
  <si>
    <t>Groningen, Netherlands</t>
  </si>
  <si>
    <t>Groningen</t>
  </si>
  <si>
    <t>Rome, Italy</t>
  </si>
  <si>
    <t>Rome</t>
  </si>
  <si>
    <t>Leuven, Belgium</t>
  </si>
  <si>
    <t>Leuven</t>
  </si>
  <si>
    <t>Budva, Montenegro</t>
  </si>
  <si>
    <t>Budva</t>
  </si>
  <si>
    <t>Bolzano0Bozen, Italy</t>
  </si>
  <si>
    <t>Bolzano0Bozen</t>
  </si>
  <si>
    <t>Kuwait City, Kuwait</t>
  </si>
  <si>
    <t>Kuwait City</t>
  </si>
  <si>
    <t>Vienna, Austria</t>
  </si>
  <si>
    <t>Vienna</t>
  </si>
  <si>
    <t>Palma de Mallorca, Spain</t>
  </si>
  <si>
    <t>Palma de Mallorca</t>
  </si>
  <si>
    <t>Cardiff, United Kingdom</t>
  </si>
  <si>
    <t>Cardiff</t>
  </si>
  <si>
    <t>Graz, Austria</t>
  </si>
  <si>
    <t>Graz</t>
  </si>
  <si>
    <t>Portland, ME, United States</t>
  </si>
  <si>
    <t>Portland</t>
  </si>
  <si>
    <t>Helsinki, Finland</t>
  </si>
  <si>
    <t>Helsinki</t>
  </si>
  <si>
    <t>Nuremberg, Germany</t>
  </si>
  <si>
    <t>Nuremberg</t>
  </si>
  <si>
    <t>Shanghai, China</t>
  </si>
  <si>
    <t>Shanghai</t>
  </si>
  <si>
    <t>Bergen, Norway</t>
  </si>
  <si>
    <t>Bergen</t>
  </si>
  <si>
    <t>Madrid, Spain</t>
  </si>
  <si>
    <t>Madrid</t>
  </si>
  <si>
    <t>Prague, Czech Republic</t>
  </si>
  <si>
    <t>Prague</t>
  </si>
  <si>
    <t>Dusseldorf, Germany</t>
  </si>
  <si>
    <t>Dusseldorf</t>
  </si>
  <si>
    <t>Vancouver, Canada</t>
  </si>
  <si>
    <t>Vancouver</t>
  </si>
  <si>
    <t>Aarhus, Denmark</t>
  </si>
  <si>
    <t>Aarhus</t>
  </si>
  <si>
    <t>Stuttgart, Germany</t>
  </si>
  <si>
    <t>Stuttgart</t>
  </si>
  <si>
    <t>Florence, Italy</t>
  </si>
  <si>
    <t>Florence</t>
  </si>
  <si>
    <t>Hamburg, Germany</t>
  </si>
  <si>
    <t>Hamburg</t>
  </si>
  <si>
    <t>Leeds, United Kingdom</t>
  </si>
  <si>
    <t>Leeds</t>
  </si>
  <si>
    <t>Phuket, Thailand</t>
  </si>
  <si>
    <t>Phuket</t>
  </si>
  <si>
    <t>Winnipeg, Canada</t>
  </si>
  <si>
    <t>Winnipeg</t>
  </si>
  <si>
    <t>Espoo, Finland</t>
  </si>
  <si>
    <t>Espoo</t>
  </si>
  <si>
    <t>Montreal, Canada</t>
  </si>
  <si>
    <t>Montreal</t>
  </si>
  <si>
    <t>Manchester, United Kingdom</t>
  </si>
  <si>
    <t>Manchester</t>
  </si>
  <si>
    <t>Frankfurt, Germany</t>
  </si>
  <si>
    <t>Frankfurt</t>
  </si>
  <si>
    <t>Oslo, Norway</t>
  </si>
  <si>
    <t>Oslo</t>
  </si>
  <si>
    <t>Funchal, Portugal</t>
  </si>
  <si>
    <t>Funchal</t>
  </si>
  <si>
    <t>Trondheim, Norway</t>
  </si>
  <si>
    <t>Trondheim</t>
  </si>
  <si>
    <t>Glasgow, United Kingdom</t>
  </si>
  <si>
    <t>Glasgow</t>
  </si>
  <si>
    <t>Stockholm, Sweden</t>
  </si>
  <si>
    <t>Stockholm</t>
  </si>
  <si>
    <t>Adelaide, Australia</t>
  </si>
  <si>
    <t>Adelaide</t>
  </si>
  <si>
    <t>Salzburg, Austria</t>
  </si>
  <si>
    <t>Salzburg</t>
  </si>
  <si>
    <t>Barcelona, Spain</t>
  </si>
  <si>
    <t>Barcelona</t>
  </si>
  <si>
    <t>Paphos, Cyprus</t>
  </si>
  <si>
    <t>Paphos</t>
  </si>
  <si>
    <t>Seoul, South Korea</t>
  </si>
  <si>
    <t>South Korea</t>
  </si>
  <si>
    <t>Seoul</t>
  </si>
  <si>
    <t>Lisbon, Portugal</t>
  </si>
  <si>
    <t>Lisbon</t>
  </si>
  <si>
    <t>Brussels, Belgium</t>
  </si>
  <si>
    <t>Brussels</t>
  </si>
  <si>
    <t>The Hague (Den Haag), Netherlands</t>
  </si>
  <si>
    <t>The Hague (Den Haag)</t>
  </si>
  <si>
    <t>Utrecht, Netherlands</t>
  </si>
  <si>
    <t>Utrecht</t>
  </si>
  <si>
    <t>Rotterdam, Netherlands</t>
  </si>
  <si>
    <t>Rotterdam</t>
  </si>
  <si>
    <t>Panama City, Panama</t>
  </si>
  <si>
    <t>Panama City</t>
  </si>
  <si>
    <t>Eindhoven, Netherlands</t>
  </si>
  <si>
    <t>Eindhoven</t>
  </si>
  <si>
    <t>Calgary, Canada</t>
  </si>
  <si>
    <t>Calgary</t>
  </si>
  <si>
    <t>Brisbane, Australia</t>
  </si>
  <si>
    <t>Brisbane</t>
  </si>
  <si>
    <t>Berlin, Germany</t>
  </si>
  <si>
    <t>Berlin</t>
  </si>
  <si>
    <t>San Juan, Puerto Rico</t>
  </si>
  <si>
    <t>San Juan</t>
  </si>
  <si>
    <t>Sliema, Malta</t>
  </si>
  <si>
    <t>Sliema</t>
  </si>
  <si>
    <t>Jerusalem, Israel</t>
  </si>
  <si>
    <t>Jerusalem</t>
  </si>
  <si>
    <t>Haarlem, Netherlands</t>
  </si>
  <si>
    <t>Haarlem</t>
  </si>
  <si>
    <t>Milan, Italy</t>
  </si>
  <si>
    <t>Milan</t>
  </si>
  <si>
    <t>Ottawa, Canada</t>
  </si>
  <si>
    <t>Ottawa</t>
  </si>
  <si>
    <t>Perth, Australia</t>
  </si>
  <si>
    <t>Perth</t>
  </si>
  <si>
    <t>Edinburgh, United Kingdom</t>
  </si>
  <si>
    <t>Edinburgh</t>
  </si>
  <si>
    <t>Tucson, AZ, United States</t>
  </si>
  <si>
    <t>Tucson</t>
  </si>
  <si>
    <t>Kelowna, Canada</t>
  </si>
  <si>
    <t>Kelowna</t>
  </si>
  <si>
    <t>Halifax, Canada</t>
  </si>
  <si>
    <t>Halifax</t>
  </si>
  <si>
    <t>Buffalo, NY, United States</t>
  </si>
  <si>
    <t>Buffalo</t>
  </si>
  <si>
    <t>Omaha, NE, United States</t>
  </si>
  <si>
    <t>Omaha</t>
  </si>
  <si>
    <t>Wellington, New Zealand</t>
  </si>
  <si>
    <t>Wellington</t>
  </si>
  <si>
    <t>Doha, Qatar</t>
  </si>
  <si>
    <t>Doha</t>
  </si>
  <si>
    <t>Pittsburgh, PA, United States</t>
  </si>
  <si>
    <t>Pittsburgh</t>
  </si>
  <si>
    <t>Munich, Germany</t>
  </si>
  <si>
    <t>Munich</t>
  </si>
  <si>
    <t>Tel Aviv0Yafo, Israel</t>
  </si>
  <si>
    <t>Tel Aviv0Yafo</t>
  </si>
  <si>
    <t>Limerick, Ireland</t>
  </si>
  <si>
    <t>Limerick</t>
  </si>
  <si>
    <t>Lagos, Nigeria</t>
  </si>
  <si>
    <t>Lagos</t>
  </si>
  <si>
    <t>Houston, TX, United States</t>
  </si>
  <si>
    <t>Houston</t>
  </si>
  <si>
    <t>Auckland, New Zealand</t>
  </si>
  <si>
    <t>Auckland</t>
  </si>
  <si>
    <t>Melbourne, Australia</t>
  </si>
  <si>
    <t>Melbourne</t>
  </si>
  <si>
    <t>Jacksonville, FL, United States</t>
  </si>
  <si>
    <t>Jacksonville</t>
  </si>
  <si>
    <t>Guelph, Canada</t>
  </si>
  <si>
    <t>Guelph</t>
  </si>
  <si>
    <t>Copenhagen, Denmark</t>
  </si>
  <si>
    <t>Copenhagen</t>
  </si>
  <si>
    <t>Galway, Ireland</t>
  </si>
  <si>
    <t>Galway</t>
  </si>
  <si>
    <t>Minneapolis, MN, United States</t>
  </si>
  <si>
    <t>Minneapolis</t>
  </si>
  <si>
    <t>Philadelphia, PA, United States</t>
  </si>
  <si>
    <t>Philadelphia</t>
  </si>
  <si>
    <t>Bristol, United Kingdom</t>
  </si>
  <si>
    <t>Bristol</t>
  </si>
  <si>
    <t>Spokane, WA, United States</t>
  </si>
  <si>
    <t>Spokane</t>
  </si>
  <si>
    <t>Hamilton, Bermuda</t>
  </si>
  <si>
    <t>Hamilton</t>
  </si>
  <si>
    <t>Cork, Ireland</t>
  </si>
  <si>
    <t>Cork</t>
  </si>
  <si>
    <t>Waterloo, Canada</t>
  </si>
  <si>
    <t>Waterloo</t>
  </si>
  <si>
    <t>Richmond, VA, United States</t>
  </si>
  <si>
    <t>Richmond</t>
  </si>
  <si>
    <t>Cascais, Portugal</t>
  </si>
  <si>
    <t>Cascais</t>
  </si>
  <si>
    <t>Canberra, Australia</t>
  </si>
  <si>
    <t>Canberra</t>
  </si>
  <si>
    <t>San Antonio, TX, United States</t>
  </si>
  <si>
    <t>San Antonio</t>
  </si>
  <si>
    <t>Limassol, Cyprus</t>
  </si>
  <si>
    <t>Limassol</t>
  </si>
  <si>
    <t>Eugene, OR, United States</t>
  </si>
  <si>
    <t>Eugene</t>
  </si>
  <si>
    <t>Reno, NV, United States</t>
  </si>
  <si>
    <t>Reno</t>
  </si>
  <si>
    <t>Atlanta, GA, United States</t>
  </si>
  <si>
    <t>Atlanta</t>
  </si>
  <si>
    <t>Las Vegas, NV, United States</t>
  </si>
  <si>
    <t>Las Vegas</t>
  </si>
  <si>
    <t>Phoenix, AZ, United States</t>
  </si>
  <si>
    <t>Phoenix</t>
  </si>
  <si>
    <t>Paris, France</t>
  </si>
  <si>
    <t>Paris</t>
  </si>
  <si>
    <t>Luxembourg, Luxembourg</t>
  </si>
  <si>
    <t>Amsterdam, Netherlands</t>
  </si>
  <si>
    <t>Amsterdam</t>
  </si>
  <si>
    <t>Abu Dhabi, United Arab Emirates</t>
  </si>
  <si>
    <t>Abu Dhabi</t>
  </si>
  <si>
    <t>Reykjavik, Iceland</t>
  </si>
  <si>
    <t>Reykjavik</t>
  </si>
  <si>
    <t>Salt Lake City, UT, United States</t>
  </si>
  <si>
    <t>Salt Lake City</t>
  </si>
  <si>
    <t>Syracuse, NY, United States</t>
  </si>
  <si>
    <t>Syracuse</t>
  </si>
  <si>
    <t>Nashville, TN, United States</t>
  </si>
  <si>
    <t>Nashville</t>
  </si>
  <si>
    <t>Mississauga, Canada</t>
  </si>
  <si>
    <t>Mississauga</t>
  </si>
  <si>
    <t>Tampa, FL, United States</t>
  </si>
  <si>
    <t>Tampa</t>
  </si>
  <si>
    <t>Toronto, Canada</t>
  </si>
  <si>
    <t>Toronto</t>
  </si>
  <si>
    <t>Dallas, TX, United States</t>
  </si>
  <si>
    <t>Dallas</t>
  </si>
  <si>
    <t>Orlando, FL, United States</t>
  </si>
  <si>
    <t>Orlando</t>
  </si>
  <si>
    <t>Raleigh, NC, United States</t>
  </si>
  <si>
    <t>Raleigh</t>
  </si>
  <si>
    <t>London, Canada</t>
  </si>
  <si>
    <t>London</t>
  </si>
  <si>
    <t>Dubai, United Arab Emirates</t>
  </si>
  <si>
    <t>Dubai</t>
  </si>
  <si>
    <t>Sydney, Australia</t>
  </si>
  <si>
    <t>Sydney</t>
  </si>
  <si>
    <t>San Jose, Costa Rica</t>
  </si>
  <si>
    <t>San Jose</t>
  </si>
  <si>
    <t>Austin, TX, United States</t>
  </si>
  <si>
    <t>Austin</t>
  </si>
  <si>
    <t>Victoria, Canada</t>
  </si>
  <si>
    <t>Victoria</t>
  </si>
  <si>
    <t>Charlotte, NC, United States</t>
  </si>
  <si>
    <t>Charlotte</t>
  </si>
  <si>
    <t>Denver, CO, United States</t>
  </si>
  <si>
    <t>Denver</t>
  </si>
  <si>
    <t>Hong Kong, Hong Kong (China)</t>
  </si>
  <si>
    <t>Hong Kong (China)</t>
  </si>
  <si>
    <t>Hong Kong</t>
  </si>
  <si>
    <t>Dublin, Ireland</t>
  </si>
  <si>
    <t>Dublin</t>
  </si>
  <si>
    <t>Sacramento, CA, United States</t>
  </si>
  <si>
    <t>Sacramento</t>
  </si>
  <si>
    <t>Zurich, Switzerland</t>
  </si>
  <si>
    <t>Zurich</t>
  </si>
  <si>
    <t>Seattle, WA, United States</t>
  </si>
  <si>
    <t>Seattle</t>
  </si>
  <si>
    <t>Honolulu, HI, United States</t>
  </si>
  <si>
    <t>Honolulu</t>
  </si>
  <si>
    <t>Boston, MA, United States</t>
  </si>
  <si>
    <t>Boston</t>
  </si>
  <si>
    <t>Chicago, IL, United States</t>
  </si>
  <si>
    <t>Chicago</t>
  </si>
  <si>
    <t>Geneva, Switzerland</t>
  </si>
  <si>
    <t>Geneva</t>
  </si>
  <si>
    <t>Miami, FL, United States</t>
  </si>
  <si>
    <t>Miami</t>
  </si>
  <si>
    <t>Los Angeles, CA, United States</t>
  </si>
  <si>
    <t>Los Angeles</t>
  </si>
  <si>
    <t>Singapore, Singapore</t>
  </si>
  <si>
    <t>Washington, DC, United States</t>
  </si>
  <si>
    <t>Washington</t>
  </si>
  <si>
    <t>New York, NY, United States</t>
  </si>
  <si>
    <t>New York</t>
  </si>
  <si>
    <t>San Diego, CA, United States</t>
  </si>
  <si>
    <t>San Diego</t>
  </si>
  <si>
    <t>San Francisco, CA, United States</t>
  </si>
  <si>
    <t>San Francisco</t>
  </si>
  <si>
    <t>Brooklyn, NY, United States</t>
  </si>
  <si>
    <t>Brooklyn</t>
  </si>
  <si>
    <t>Country Name</t>
  </si>
  <si>
    <t>Region (WB)</t>
  </si>
  <si>
    <t>Income level (WB)</t>
  </si>
  <si>
    <t>HUI (DALY per year of work)</t>
  </si>
  <si>
    <t>Africa</t>
  </si>
  <si>
    <t>Continent/Region</t>
  </si>
  <si>
    <t>Arab Countries</t>
  </si>
  <si>
    <t>Asia</t>
  </si>
  <si>
    <t>Europe</t>
  </si>
  <si>
    <t>Latin America</t>
  </si>
  <si>
    <t>Ratio LF over Pop.</t>
  </si>
  <si>
    <t>Q1</t>
  </si>
  <si>
    <t>Q2</t>
  </si>
  <si>
    <t>Q3</t>
  </si>
  <si>
    <t>Q4</t>
  </si>
  <si>
    <t>Q5</t>
  </si>
  <si>
    <t>income - Q1</t>
  </si>
  <si>
    <t>income - Q2</t>
  </si>
  <si>
    <t>income - Q3</t>
  </si>
  <si>
    <t>income - Q4</t>
  </si>
  <si>
    <t>income - Q5</t>
  </si>
  <si>
    <t>Low-Silled worker [USD/year]</t>
  </si>
  <si>
    <t>Medium-skilled worker [USD/year]</t>
  </si>
  <si>
    <t>High-skilled worker [USD/year]</t>
  </si>
  <si>
    <t>Country Code</t>
  </si>
  <si>
    <t>Current health expenditure (CHE) per capita in US$</t>
  </si>
  <si>
    <t>Diarrheal disease and enteric infections linked to 
No access to handwashing facility [DALYs/Capita]</t>
  </si>
  <si>
    <t>Diarrheal disease and enteric infections linked to 
unsafe sanitation [DALYs/capita]</t>
  </si>
  <si>
    <t>Diarrheal disease and enteric infection linked to 
Unsafe water source [DALYs/Capita]</t>
  </si>
  <si>
    <t>Lower respiratory infections and tuberculosis linked to No access to 
handwashing facility [DALYs/capita]</t>
  </si>
  <si>
    <t>Second hand smoke - All Causes 
[DALYs/capita]</t>
  </si>
  <si>
    <t>Occupational particulate matter, gases, and fumes - All Causes
[DALYs/capita]</t>
  </si>
  <si>
    <t>Occupational injuries - All Causes [DALYs/capita]</t>
  </si>
  <si>
    <t xml:space="preserve">Data gaps for OHS Injuries - All causes [DALYs/capita] </t>
  </si>
  <si>
    <t>Diet high in processed meat
[DALYs/capita]</t>
  </si>
  <si>
    <t>Diet high in red meat
[DALYs/capita]</t>
  </si>
  <si>
    <t>Diet high in sodium
[DALYs/capita]</t>
  </si>
  <si>
    <t>Diet high in sugar-sweetened beverages
[DALYs/capita]</t>
  </si>
  <si>
    <t>Diet high in trans fatty acids 
[DALYs/capita]</t>
  </si>
  <si>
    <t>Diet low in vegetables
[DALYs/capita]</t>
  </si>
  <si>
    <t>Diet low in whole grains
[DALYs/capita]</t>
  </si>
  <si>
    <t>Dietary risks 
[DALYs/capita]</t>
  </si>
  <si>
    <t>Smoking [Dalys/capita]</t>
  </si>
  <si>
    <t>No Data</t>
  </si>
  <si>
    <t>COUNTRY</t>
  </si>
  <si>
    <t>GNI per capita World Bank Atlas method 2023 (USD/capita)</t>
  </si>
  <si>
    <t>Hours education per year (h/year)</t>
  </si>
  <si>
    <t>NPV</t>
  </si>
  <si>
    <t>Net increase income
Primary education (USD/hour)</t>
  </si>
  <si>
    <t>Net increase income
Secondary education (USD/hour)</t>
  </si>
  <si>
    <t>Net increase income
Terciary education (USD/hour)</t>
  </si>
  <si>
    <t>Net increase income
Primary education (USD/day)</t>
  </si>
  <si>
    <t>Net increase income
Secondary education (USD/day)</t>
  </si>
  <si>
    <t>Net increase income
Terciary education (USD/day)</t>
  </si>
  <si>
    <t>Impact category</t>
  </si>
  <si>
    <t>Indicator type</t>
  </si>
  <si>
    <t>Indicator name</t>
  </si>
  <si>
    <t>Valuation factor 2023</t>
  </si>
  <si>
    <t>Valuation factor unit</t>
  </si>
  <si>
    <t xml:space="preserve">World </t>
  </si>
  <si>
    <t>EF 3.0</t>
  </si>
  <si>
    <t>Social - pollution costs</t>
  </si>
  <si>
    <t>Global Warming potential (GWP 100)</t>
  </si>
  <si>
    <t>USD/kg CO2-e</t>
  </si>
  <si>
    <t>Acidification</t>
  </si>
  <si>
    <t>accumulated exceedance (AE)</t>
  </si>
  <si>
    <t>USD/mol H+-Eq</t>
  </si>
  <si>
    <t>Ecotoxicity, freshwater</t>
  </si>
  <si>
    <t>comparative toxic unit for ecosystems (CTUe)</t>
  </si>
  <si>
    <t>USD/CTUe</t>
  </si>
  <si>
    <t>Resource use, fossils</t>
  </si>
  <si>
    <t>abiotic depletion potential (ADP): fossil fuels</t>
  </si>
  <si>
    <t>USD/MJ, net calorific value</t>
  </si>
  <si>
    <t>Eutrophication, freshwater</t>
  </si>
  <si>
    <t>fraction of nutrients reaching freshwater end compartment (P)</t>
  </si>
  <si>
    <t>Eutrophication, marine</t>
  </si>
  <si>
    <t>fraction of nutrients reaching marine end compartment (N)</t>
  </si>
  <si>
    <t>Eutrophication, terrestrial</t>
  </si>
  <si>
    <t>USD/mol N-Eq</t>
  </si>
  <si>
    <t>Human toxicity, cancer</t>
  </si>
  <si>
    <t>comparative toxic unit for human (CTUh)</t>
  </si>
  <si>
    <t>USD/CTUh</t>
  </si>
  <si>
    <t>Human toxicity, non-cancer</t>
  </si>
  <si>
    <t>Ionising radiation, human health</t>
  </si>
  <si>
    <t>human exposure efficiency relative to u235</t>
  </si>
  <si>
    <t>USD/kBq U235-Eq</t>
  </si>
  <si>
    <t>Land use</t>
  </si>
  <si>
    <t>soil quality index</t>
  </si>
  <si>
    <t>USD/dimensionless</t>
  </si>
  <si>
    <t>Resource use, minerals and metals</t>
  </si>
  <si>
    <t>abiotic depletion potential (ADP): elements (ultimate reserves)</t>
  </si>
  <si>
    <t>USD/kg Sb-Eq</t>
  </si>
  <si>
    <t>ozone depletion potential (ODP)</t>
  </si>
  <si>
    <t>Particulate matter</t>
  </si>
  <si>
    <t>impact on human health</t>
  </si>
  <si>
    <t>USD/disease incidence</t>
  </si>
  <si>
    <t>Photochemical ozone formation, human health</t>
  </si>
  <si>
    <t>tropospheric ozone concentration increase</t>
  </si>
  <si>
    <t>USD/kg NMVOC-Eq</t>
  </si>
  <si>
    <t>Water use</t>
  </si>
  <si>
    <t>user deprivation potential (deprivation-weighted water consumption)</t>
  </si>
  <si>
    <t>USD/m3 world eq. deprived</t>
  </si>
  <si>
    <t>LANCA v2.0</t>
  </si>
  <si>
    <t>Pasture meadow</t>
  </si>
  <si>
    <t>Permanent crops</t>
  </si>
  <si>
    <t>Arable land</t>
  </si>
  <si>
    <t>Water</t>
  </si>
  <si>
    <t>EAS</t>
  </si>
  <si>
    <t>Average</t>
  </si>
  <si>
    <t>ECS</t>
  </si>
  <si>
    <t>LCN</t>
  </si>
  <si>
    <t>MEA</t>
  </si>
  <si>
    <t>NAC</t>
  </si>
  <si>
    <t>SAS</t>
  </si>
  <si>
    <t>SSF</t>
  </si>
  <si>
    <t>Freshwater eutrophication</t>
  </si>
  <si>
    <t>Marine eutrophication</t>
  </si>
  <si>
    <t>Agricultural land occupation</t>
  </si>
  <si>
    <t>USD/t plastic</t>
  </si>
  <si>
    <t>ReCiPe 2016 v1.03, midpoint (H)</t>
  </si>
  <si>
    <t>Category</t>
  </si>
  <si>
    <t>Reference code</t>
  </si>
  <si>
    <t>Activity Name</t>
  </si>
  <si>
    <t>Geography</t>
  </si>
  <si>
    <t>Reference Product Name</t>
  </si>
  <si>
    <t>Reference Product Unit</t>
  </si>
  <si>
    <t>Reference Product Amount</t>
  </si>
  <si>
    <t>kg SO2-Eq</t>
  </si>
  <si>
    <t>kg CO2-Eq</t>
  </si>
  <si>
    <t>kg 1,4-DCB-Eq</t>
  </si>
  <si>
    <t>kg oil-Eq</t>
  </si>
  <si>
    <t>kg P-Eq</t>
  </si>
  <si>
    <t>kg N-Eq</t>
  </si>
  <si>
    <t>kBq Co-60-Eq</t>
  </si>
  <si>
    <t>m2*a crop-Eq</t>
  </si>
  <si>
    <t>kg Cu-Eq</t>
  </si>
  <si>
    <t>kg CFC-11-Eq</t>
  </si>
  <si>
    <t>kg PM2.5-Eq</t>
  </si>
  <si>
    <t>kg NOx-Eq</t>
  </si>
  <si>
    <t>m3</t>
  </si>
  <si>
    <t>Unique TAG Identifier</t>
  </si>
  <si>
    <t>703d3314-190b-58e7-b9c8-0b911459cc2b_d69294d7-8d64-4915-a896-9996a014c410</t>
  </si>
  <si>
    <t>Electricity low-voltage</t>
  </si>
  <si>
    <t>FR</t>
  </si>
  <si>
    <t>electricity, low voltage</t>
  </si>
  <si>
    <t>c15a040a-8bf4-59a6-8463-c320ad3081ba_ab08966c-085c-4cdf-9c2b-c137eee358c0</t>
  </si>
  <si>
    <t>market for transport, passenger car, small size, petrol, EURO 5</t>
  </si>
  <si>
    <t>transport, passenger car, small size, petrol, EURO 5</t>
  </si>
  <si>
    <t>9b874034-97f2-585a-8439-918eaf22b64f_27da8130-82ba-485c-a800-b89efdcb0491</t>
  </si>
  <si>
    <t>treatment of municipal solid waste, municipal incineration</t>
  </si>
  <si>
    <t>RoW</t>
  </si>
  <si>
    <t>municipal solid waste</t>
  </si>
  <si>
    <t>kg</t>
  </si>
  <si>
    <t>treatment of municipal solid waste, municipal incineration|RoW|municipal solid waste</t>
  </si>
  <si>
    <t>e9502c59-061a-55b7-b841-2fca78477a55_27da8130-82ba-485c-a800-b89efdcb0491</t>
  </si>
  <si>
    <t>treatment of municipal solid waste, sanitary landfill</t>
  </si>
  <si>
    <t>treatment of municipal solid waste, sanitary landfill|RoW|municipal solid waste</t>
  </si>
  <si>
    <t>Name</t>
  </si>
  <si>
    <t>IO name</t>
  </si>
  <si>
    <t>Midpoint H</t>
  </si>
  <si>
    <t>Indicator</t>
  </si>
  <si>
    <t>Ecoinvent process</t>
  </si>
  <si>
    <t>As(III)</t>
  </si>
  <si>
    <t>Water Pollution Arsenic in kg</t>
  </si>
  <si>
    <t>1,4-DCB eq. emitted to freshwater</t>
  </si>
  <si>
    <t>NA</t>
  </si>
  <si>
    <t>Cd(II)</t>
  </si>
  <si>
    <t>Water Pollution Cadmium in kg</t>
  </si>
  <si>
    <t>Cr(III)</t>
  </si>
  <si>
    <t>Water Pollution Chromium in kg</t>
  </si>
  <si>
    <t>Cu(II)</t>
  </si>
  <si>
    <t>Water Pollution Copper in kg</t>
  </si>
  <si>
    <t>Hg(II)</t>
  </si>
  <si>
    <t>Water Pollution Mercury in kg</t>
  </si>
  <si>
    <t>Ni(II)</t>
  </si>
  <si>
    <t>Water Pollution Nickel in kg</t>
  </si>
  <si>
    <t>Pb(II)</t>
  </si>
  <si>
    <t>Water Pollution Lead in kg</t>
  </si>
  <si>
    <t>Sb(III)</t>
  </si>
  <si>
    <t>Water Pollution Antimony in kg</t>
  </si>
  <si>
    <t>Zn(II)</t>
  </si>
  <si>
    <t>Water Pollution Zinc in kg</t>
  </si>
  <si>
    <t>PAH</t>
  </si>
  <si>
    <t>Water Pollution PAHs in kg</t>
  </si>
  <si>
    <t>1,4-DCB eq. emitted to urban air</t>
  </si>
  <si>
    <t>NOx</t>
  </si>
  <si>
    <t>Air Pollution NOx Total in kg</t>
  </si>
  <si>
    <t>kg NOx-eq/kg</t>
  </si>
  <si>
    <t>SOx</t>
  </si>
  <si>
    <t>Air Pollution SOx Total in kg</t>
  </si>
  <si>
    <t>kg SO2-eq/kg</t>
  </si>
  <si>
    <t>NH3</t>
  </si>
  <si>
    <t>Air Pollution NH3 Total in kg</t>
  </si>
  <si>
    <t>Waste</t>
  </si>
  <si>
    <t>Waste Hazardous Disposed (Landfill) in kg</t>
  </si>
  <si>
    <t>Waste Non-Hazardous Disposed (Landfill) in kg</t>
  </si>
  <si>
    <t>Waste Hazardous Disposed (Incinerated) in kg</t>
  </si>
  <si>
    <t>Waste Non-Hazardous Disposed (Incinerated) in kg</t>
  </si>
  <si>
    <t>Land Use Agriculture Total in ha</t>
  </si>
  <si>
    <t>PM2.5</t>
  </si>
  <si>
    <t>Air Pollution PM2.5 Total in kg</t>
  </si>
  <si>
    <t>GHG</t>
  </si>
  <si>
    <t>GHG Total in kg</t>
  </si>
  <si>
    <t>Plastics</t>
  </si>
  <si>
    <t>Annual Leakage of Plastics to the Ocean in Tonnes</t>
  </si>
  <si>
    <t>ton plastic</t>
  </si>
  <si>
    <t>Water consumption</t>
  </si>
  <si>
    <t>Water Consumption Blue in m3</t>
  </si>
  <si>
    <t>Eutrophication</t>
  </si>
  <si>
    <t>Water Pollution Nitrogen in kg</t>
  </si>
  <si>
    <t>Water Pollution Phosphorus in kg</t>
  </si>
  <si>
    <t>Variable</t>
  </si>
  <si>
    <t>Impact/Output</t>
  </si>
  <si>
    <t>Impact Area</t>
  </si>
  <si>
    <t>Manufacturing Country</t>
  </si>
  <si>
    <t>Manufacturing Sector</t>
  </si>
  <si>
    <t>Type</t>
  </si>
  <si>
    <t>Tiers</t>
  </si>
  <si>
    <t>Impact on Country</t>
  </si>
  <si>
    <t>Impact on Sector</t>
  </si>
  <si>
    <t>Indirect Effects</t>
  </si>
  <si>
    <t>Total</t>
  </si>
  <si>
    <t>(Multiple Items)</t>
  </si>
  <si>
    <t>Average of Ratio LF over Pop.</t>
  </si>
  <si>
    <t>Column Labels</t>
  </si>
  <si>
    <t>Row Labels</t>
  </si>
  <si>
    <t>Average of Q1</t>
  </si>
  <si>
    <t>(blank)</t>
  </si>
  <si>
    <t>Average of Q2</t>
  </si>
  <si>
    <t>Average of Q3</t>
  </si>
  <si>
    <t>Average of Q4</t>
  </si>
  <si>
    <t>Average of Q5</t>
  </si>
  <si>
    <t>Data type</t>
  </si>
  <si>
    <t>Full assumption</t>
  </si>
  <si>
    <t>Secondary data</t>
  </si>
  <si>
    <t>Partial estimate</t>
  </si>
  <si>
    <t>Other</t>
  </si>
  <si>
    <t>Baseline</t>
  </si>
  <si>
    <t>Dropoff</t>
  </si>
  <si>
    <t>Valuing Impact HUI</t>
  </si>
  <si>
    <t>hours/beneficiary</t>
  </si>
  <si>
    <t>USD Impact/DALY</t>
  </si>
  <si>
    <t>USD Impact/USD Economic</t>
  </si>
  <si>
    <t>HUT [USD impact /USD economic]</t>
  </si>
  <si>
    <t>SROI of taxes (DALY/USD economic)</t>
  </si>
  <si>
    <t>HUI [USD impact /USD economic]</t>
  </si>
  <si>
    <t>2023/24 LW for a Typical family [USD economic/year]</t>
  </si>
  <si>
    <t>HUI [DALY/USD economic]</t>
  </si>
  <si>
    <t>GDP Data reference year</t>
  </si>
  <si>
    <t>Income Data reference year</t>
  </si>
  <si>
    <t>Income % GDP  ILO</t>
  </si>
  <si>
    <t>Labor force reference year</t>
  </si>
  <si>
    <t>Population reference year</t>
  </si>
  <si>
    <t>Population World Bank (Totals)</t>
  </si>
  <si>
    <t>Trading Economics</t>
  </si>
  <si>
    <t>GDP
[Current USD]</t>
  </si>
  <si>
    <t>World Bank</t>
  </si>
  <si>
    <t>GDP Source data</t>
  </si>
  <si>
    <t>Gilbraltar Government</t>
  </si>
  <si>
    <t>UNCTAD</t>
  </si>
  <si>
    <t>Labor force source data</t>
  </si>
  <si>
    <t>Labour force (Totals)</t>
  </si>
  <si>
    <t>ILO</t>
  </si>
  <si>
    <t>CIA Factbook</t>
  </si>
  <si>
    <t>Bank of Korea (BOK)</t>
  </si>
  <si>
    <t>Estimate</t>
  </si>
  <si>
    <t>Child Labor in Children</t>
  </si>
  <si>
    <t>Cases</t>
  </si>
  <si>
    <t>Gender Pay Gap in USD</t>
  </si>
  <si>
    <t>Economic</t>
  </si>
  <si>
    <t>1000 Persons</t>
  </si>
  <si>
    <t>OHS Disease/Illness Total in Cases</t>
  </si>
  <si>
    <t>OHS Injury Fatal Total in Cases</t>
  </si>
  <si>
    <t>OHS Injury Nonfatal Total in Cases</t>
  </si>
  <si>
    <t>Gender pay gap</t>
  </si>
  <si>
    <t>Child labor</t>
  </si>
  <si>
    <t>Forced labor</t>
  </si>
  <si>
    <t>Disease/Illness</t>
  </si>
  <si>
    <t>Business value (USD economic)</t>
  </si>
  <si>
    <t>Human Capital / Training in Hours</t>
  </si>
  <si>
    <t>Hours</t>
  </si>
  <si>
    <t>Corporate taxes</t>
  </si>
  <si>
    <t>Personal income taxes</t>
  </si>
  <si>
    <t>Income - low-skilled workers</t>
  </si>
  <si>
    <t>Income - medium-skilled workers</t>
  </si>
  <si>
    <t>Income - high-skilled workers</t>
  </si>
  <si>
    <t>Gap to living wage - low-skilled workers</t>
  </si>
  <si>
    <t>Gap to living wage - medium-skilled workers</t>
  </si>
  <si>
    <t>Gap to living wage - high-skilled workers</t>
  </si>
  <si>
    <t>Polination</t>
  </si>
  <si>
    <t>Genetic material</t>
  </si>
  <si>
    <t>Climate regulation</t>
  </si>
  <si>
    <t>Rainfall patterns</t>
  </si>
  <si>
    <t>Nursery population and habitat maintanence</t>
  </si>
  <si>
    <t>Biomass provisioning</t>
  </si>
  <si>
    <t>Social impact</t>
  </si>
  <si>
    <t>Business Risk</t>
  </si>
  <si>
    <t>Business financials</t>
  </si>
  <si>
    <t>Net Revenue</t>
  </si>
  <si>
    <t>Opeartional costs</t>
  </si>
  <si>
    <t>Costs with water supply</t>
  </si>
  <si>
    <t>Costs with oil/fossil fuels supply</t>
  </si>
  <si>
    <t>Costs with minerals supply</t>
  </si>
  <si>
    <t>Costs with timber supply</t>
  </si>
  <si>
    <t>Costs with waste treatment/disposal</t>
  </si>
  <si>
    <t>Costs with wastewater treatment/disposal</t>
  </si>
  <si>
    <t>Total assets</t>
  </si>
  <si>
    <t>Balance sheet</t>
  </si>
  <si>
    <t>Income statement</t>
  </si>
  <si>
    <t>Costs with pesticides</t>
  </si>
  <si>
    <t>Costs with air pollution prevention</t>
  </si>
  <si>
    <t>USD/kg</t>
  </si>
  <si>
    <t>USD/kg Cu-eq</t>
  </si>
  <si>
    <t>USD/kg waste</t>
  </si>
  <si>
    <t>USD/m3 wastewater</t>
  </si>
  <si>
    <t>USD/kg fertilizer</t>
  </si>
  <si>
    <t>Costs with fertilizers</t>
  </si>
  <si>
    <t>USD/kg pesticide</t>
  </si>
  <si>
    <t>USD/kg PM2.5-eq</t>
  </si>
  <si>
    <t>USD/kg oil-eq</t>
  </si>
  <si>
    <t>Water supply</t>
  </si>
  <si>
    <t>Oil/fossil fuels supply</t>
  </si>
  <si>
    <t>Minerals supply</t>
  </si>
  <si>
    <t>Timber supply</t>
  </si>
  <si>
    <t>Waste treatment/disposal</t>
  </si>
  <si>
    <t>Wastewater treatment/disposal</t>
  </si>
  <si>
    <t>Fertilizers</t>
  </si>
  <si>
    <t>Pesticides</t>
  </si>
  <si>
    <t>Air pollution prevention</t>
  </si>
  <si>
    <t>Business dependencies</t>
  </si>
  <si>
    <t>Total number of hours of training</t>
  </si>
  <si>
    <t>Business operations</t>
  </si>
  <si>
    <t>Production units</t>
  </si>
  <si>
    <t>Production weight</t>
  </si>
  <si>
    <t>units</t>
  </si>
  <si>
    <t>Total tangible assets</t>
  </si>
  <si>
    <t>Supply chain impact</t>
  </si>
  <si>
    <t>Additivity parameters for Supply chain impact</t>
  </si>
  <si>
    <t>Pesticide use</t>
  </si>
  <si>
    <t>Fertilizer use: N</t>
  </si>
  <si>
    <t>6dab5d8f-0a7d-5cc8-aab6-1c29d73ac587_fb76d2b4-16bb-4373-bcdf-03545f362b83</t>
  </si>
  <si>
    <t>market for pesticide, unspecified</t>
  </si>
  <si>
    <t>pesticide, unspecified</t>
  </si>
  <si>
    <t>market for pesticide, unspecified|GLO|pesticide, unspecified</t>
  </si>
  <si>
    <t>db80aa05-794c-5a23-98e3-1a66dd0a2ed0_f5707bdf-f7e2-479b-b3ea-99c04de8a927</t>
  </si>
  <si>
    <t>market for inorganic nitrogen fertiliser, as N</t>
  </si>
  <si>
    <t>inorganic nitrogen fertiliser, as N</t>
  </si>
  <si>
    <t>market for inorganic nitrogen fertiliser, as N|RoW|inorganic nitrogen fertiliser, as N</t>
  </si>
  <si>
    <t>4ede4bb8-64c4-51f1-b8bb-c60752071344_5321a299-0c03-4bfc-9dda-d020456f6b2e</t>
  </si>
  <si>
    <t>market for inorganic phosphorus fertiliser, as P2O5</t>
  </si>
  <si>
    <t>inorganic phosphorus fertiliser, as P2O5</t>
  </si>
  <si>
    <t>market for inorganic phosphorus fertiliser, as P2O5|RoW|inorganic phosphorus fertiliser, as P2O5</t>
  </si>
  <si>
    <t>74d09411-c90d-507c-b5b4-1db570439194_7c4dafff-fe18-45c0-92e4-857950032abb</t>
  </si>
  <si>
    <t>market for inorganic potassium fertiliser, as K2O</t>
  </si>
  <si>
    <t>inorganic potassium fertiliser, as K2O</t>
  </si>
  <si>
    <t>market for inorganic potassium fertiliser, as K2O|RoW|inorganic potassium fertiliser, as K2O</t>
  </si>
  <si>
    <t>Direct field emissions</t>
  </si>
  <si>
    <t>IPCC</t>
  </si>
  <si>
    <t>Periodic Table</t>
  </si>
  <si>
    <t>ReCiPe</t>
  </si>
  <si>
    <t>NOx GWP</t>
  </si>
  <si>
    <t>P weight in P2O5</t>
  </si>
  <si>
    <t>NO2 weight for each N</t>
  </si>
  <si>
    <t>kg CO2-eq/kg NO2</t>
  </si>
  <si>
    <t>kg NO2/kg N</t>
  </si>
  <si>
    <t>kg P/kg P2O5</t>
  </si>
  <si>
    <t>Fertilizer use: P2O5</t>
  </si>
  <si>
    <t>Fertilizer use: K2O</t>
  </si>
  <si>
    <t>kg CO2-eq/kg N fertilizer</t>
  </si>
  <si>
    <t>CO2 emissions per N fertilizer</t>
  </si>
  <si>
    <t>P emissions per P2O5 fertilizer</t>
  </si>
  <si>
    <t>kg P/kg P2O5 fertilizer</t>
  </si>
  <si>
    <t>Nitrogen oxidation rate</t>
  </si>
  <si>
    <t>Phosphorus runoff rate</t>
  </si>
  <si>
    <t>Nitrogen runoff rate</t>
  </si>
  <si>
    <t>Timber consumption</t>
  </si>
  <si>
    <t>9c3301c3-2dce-511c-8a77-1990ad855395_92292ccd-ecbb-5ae6-8141-03114dd9c07c</t>
  </si>
  <si>
    <t>market for structural timber</t>
  </si>
  <si>
    <t>structural timber</t>
  </si>
  <si>
    <t>market for structural timber|RoW|structural timber</t>
  </si>
  <si>
    <t>USD/unit</t>
  </si>
  <si>
    <t>Average price per unit</t>
  </si>
  <si>
    <t>Average price per weight</t>
  </si>
  <si>
    <t>Average cost per unit</t>
  </si>
  <si>
    <t>Average cost per weight</t>
  </si>
  <si>
    <t>days/year</t>
  </si>
  <si>
    <t>Average revenue per day</t>
  </si>
  <si>
    <t>Average cost per day</t>
  </si>
  <si>
    <t>USD/day</t>
  </si>
  <si>
    <t>Days of operation per year</t>
  </si>
  <si>
    <t>Averages</t>
  </si>
  <si>
    <t>Estimated increased in costs:</t>
  </si>
  <si>
    <t>Current costs:</t>
  </si>
  <si>
    <t>Share of products dependent on the provision of:</t>
  </si>
  <si>
    <t>Potential new costs by providing:</t>
  </si>
  <si>
    <t>Units dependent on the provision of:</t>
  </si>
  <si>
    <t>percentage of units</t>
  </si>
  <si>
    <t>Sediment retention</t>
  </si>
  <si>
    <t>MJ</t>
  </si>
  <si>
    <t>Value chain link</t>
  </si>
  <si>
    <t>Own operations</t>
  </si>
  <si>
    <t>Wastewater pollutants</t>
  </si>
  <si>
    <t>Regular waste sent to landfill</t>
  </si>
  <si>
    <t>Wastewater discharged</t>
  </si>
  <si>
    <t>Animal-based energy consumed</t>
  </si>
  <si>
    <t>Potential increase in costs of:</t>
  </si>
  <si>
    <t>Costs with energy</t>
  </si>
  <si>
    <t>Energy</t>
  </si>
  <si>
    <t>USD/MJ</t>
  </si>
  <si>
    <t>Costs with noise supression</t>
  </si>
  <si>
    <t>Noise supression</t>
  </si>
  <si>
    <t>USD/decibel</t>
  </si>
  <si>
    <t>decibels</t>
  </si>
  <si>
    <t>Excessiive sound generation</t>
  </si>
  <si>
    <t>Potential days out of operation:</t>
  </si>
  <si>
    <t>Floods</t>
  </si>
  <si>
    <t>Extreme weather events (storms)</t>
  </si>
  <si>
    <t>Education dataset VI - terciary education</t>
  </si>
  <si>
    <t>Fossil Fuels Coal in Tonnes</t>
  </si>
  <si>
    <t>Fossil Fuels Natural Gas in 1000000 m3</t>
  </si>
  <si>
    <t>Fossil Fuels Oil Shales in Tonnes</t>
  </si>
  <si>
    <t>Fossil Fuels Petroleum in Tonnes</t>
  </si>
  <si>
    <t>Material Aluminium in Tonnes</t>
  </si>
  <si>
    <t>Material Antimony in Tonnes</t>
  </si>
  <si>
    <t>Material Arsenic in Tonnes</t>
  </si>
  <si>
    <t>Material Asbestos in Tonnes</t>
  </si>
  <si>
    <t>Material Baryte in Tonnes</t>
  </si>
  <si>
    <t>Material Bauxite in Tonnes</t>
  </si>
  <si>
    <t>Material Bentonite in Tonnes</t>
  </si>
  <si>
    <t>Material Beryl in Tonnes</t>
  </si>
  <si>
    <t>Material Bismuth in Tonnes</t>
  </si>
  <si>
    <t>Material Boron Minerals in Tonnes</t>
  </si>
  <si>
    <t>Material Cadmium in Tonnes</t>
  </si>
  <si>
    <t>Material Chromium in Tonnes</t>
  </si>
  <si>
    <t>Material Cobalt in Tonnes</t>
  </si>
  <si>
    <t>Material Copper in Tonnes</t>
  </si>
  <si>
    <t>Material Diamond in Tonnes</t>
  </si>
  <si>
    <t>Material Diatomite in Tonnes</t>
  </si>
  <si>
    <t>Material Feldspar in Tonnes</t>
  </si>
  <si>
    <t>Material Fluorspar in Tonnes</t>
  </si>
  <si>
    <t>Material Gallium in Tonnes</t>
  </si>
  <si>
    <t>Material Germanium in Tonnes</t>
  </si>
  <si>
    <t>Material Gold in Tonnes</t>
  </si>
  <si>
    <t>Material Graphite in Tonnes</t>
  </si>
  <si>
    <t>Material Gypsum in Tonnes</t>
  </si>
  <si>
    <t>Material Indium in Tonnes</t>
  </si>
  <si>
    <t>Material Iron in Tonnes</t>
  </si>
  <si>
    <t>Material Kaolin in Tonnes</t>
  </si>
  <si>
    <t>Material Lead in Tonnes</t>
  </si>
  <si>
    <t>Material Lignite in Tonnes</t>
  </si>
  <si>
    <t>Material Lithium in Tonnes</t>
  </si>
  <si>
    <t>Material Magnesite in Tonnes</t>
  </si>
  <si>
    <t>Material Manganese in Tonnes</t>
  </si>
  <si>
    <t>Material Mercury in Tonnes</t>
  </si>
  <si>
    <t>Material Molybdenum in Tonnes</t>
  </si>
  <si>
    <t>Material Nickel in Tonnes</t>
  </si>
  <si>
    <t>Material Niobium and Tantalum in Tonnes</t>
  </si>
  <si>
    <t>Material Palladium in Tonnes</t>
  </si>
  <si>
    <t>Material Perlite in Tonnes</t>
  </si>
  <si>
    <t>Material Phosphate Rock in Tonnes</t>
  </si>
  <si>
    <t>Material Platinum in Tonnes</t>
  </si>
  <si>
    <t>Material Potash in Tonnes</t>
  </si>
  <si>
    <t>Material Rare Earth in Tonnes</t>
  </si>
  <si>
    <t>Material Rhenium in Tonnes</t>
  </si>
  <si>
    <t>Material Rhodium in Tonnes</t>
  </si>
  <si>
    <t>Material Salt in Tonnes</t>
  </si>
  <si>
    <t>Material Selenium in Tonnes</t>
  </si>
  <si>
    <t>Material Silver in Tonnes</t>
  </si>
  <si>
    <t>Material Sulfur in Tonnes</t>
  </si>
  <si>
    <t>Material Talc in Tonnes</t>
  </si>
  <si>
    <t>Material Tellurium in Tonnes</t>
  </si>
  <si>
    <t>Material Tin in Tonnes</t>
  </si>
  <si>
    <t>Material Titanium in Tonnes</t>
  </si>
  <si>
    <t>Material Tungsten in Tonnes</t>
  </si>
  <si>
    <t>Material Uranium in Tonnes</t>
  </si>
  <si>
    <t>Material Vanadium in Tonnes</t>
  </si>
  <si>
    <t>Material Vermiculite in Tonnes</t>
  </si>
  <si>
    <t>Material Zinc in Tonnes</t>
  </si>
  <si>
    <t>Material Zirconium in Tonnes</t>
  </si>
  <si>
    <t>Crude oil</t>
  </si>
  <si>
    <t>Hard coal</t>
  </si>
  <si>
    <t>Natural gas</t>
  </si>
  <si>
    <t>Bauxite</t>
  </si>
  <si>
    <t>Bentonite clay</t>
  </si>
  <si>
    <t>Diatomite</t>
  </si>
  <si>
    <t>Feldspar</t>
  </si>
  <si>
    <t>Diamond (industrial)</t>
  </si>
  <si>
    <t>Cobalt</t>
  </si>
  <si>
    <t>Copper</t>
  </si>
  <si>
    <t>Aluminium</t>
  </si>
  <si>
    <t>Antimony</t>
  </si>
  <si>
    <t>Arsenic</t>
  </si>
  <si>
    <t>Chromium</t>
  </si>
  <si>
    <t>Cadmium</t>
  </si>
  <si>
    <t>Boron</t>
  </si>
  <si>
    <t>Bismuth</t>
  </si>
  <si>
    <t>Gallium</t>
  </si>
  <si>
    <t>Germanium</t>
  </si>
  <si>
    <t>Gold</t>
  </si>
  <si>
    <t>Graphite</t>
  </si>
  <si>
    <t>Gypsum</t>
  </si>
  <si>
    <t>Indium</t>
  </si>
  <si>
    <t>Iron</t>
  </si>
  <si>
    <t>Kaolin</t>
  </si>
  <si>
    <t>Lead</t>
  </si>
  <si>
    <t>Lithium</t>
  </si>
  <si>
    <t>Manganese</t>
  </si>
  <si>
    <t>Mercury</t>
  </si>
  <si>
    <t>Molybdenum</t>
  </si>
  <si>
    <t>Nickel</t>
  </si>
  <si>
    <t>Niobium</t>
  </si>
  <si>
    <t>Palladium</t>
  </si>
  <si>
    <t>Perlite</t>
  </si>
  <si>
    <t>Platinum</t>
  </si>
  <si>
    <t>Potash</t>
  </si>
  <si>
    <t>Rare eath metals</t>
  </si>
  <si>
    <t>Rhenium</t>
  </si>
  <si>
    <t>Rhodium</t>
  </si>
  <si>
    <t>Selenium</t>
  </si>
  <si>
    <t>Silver</t>
  </si>
  <si>
    <t>Talc</t>
  </si>
  <si>
    <t>Tellurium</t>
  </si>
  <si>
    <t>Tin</t>
  </si>
  <si>
    <t>Titanium</t>
  </si>
  <si>
    <t>Tungsten</t>
  </si>
  <si>
    <t>Uranium</t>
  </si>
  <si>
    <t>Vanadium</t>
  </si>
  <si>
    <t>Zinc</t>
  </si>
  <si>
    <t>Zirconium minerals</t>
  </si>
  <si>
    <t>Disability Pay Gap in USD</t>
  </si>
  <si>
    <t>Social</t>
  </si>
  <si>
    <t>Freedom of Association in Cases</t>
  </si>
  <si>
    <t>Working Overtime in Cases</t>
  </si>
  <si>
    <t>Disability pay gap</t>
  </si>
  <si>
    <t>Freedom of association</t>
  </si>
  <si>
    <t>Working overtime</t>
  </si>
  <si>
    <t>Wifor parameters</t>
  </si>
  <si>
    <t>Disability weight</t>
  </si>
  <si>
    <t>DALYs</t>
  </si>
  <si>
    <t>weeks</t>
  </si>
  <si>
    <t>Direct impact on health</t>
  </si>
  <si>
    <t>Period life expectancy at birth - Sex: total - Age: 0</t>
  </si>
  <si>
    <t>Median age - Sex: all - Age: all - Variant: estimates</t>
  </si>
  <si>
    <t>AIA</t>
  </si>
  <si>
    <t>BES</t>
  </si>
  <si>
    <t>COK</t>
  </si>
  <si>
    <t>FLK</t>
  </si>
  <si>
    <t>GUF</t>
  </si>
  <si>
    <t>GLP</t>
  </si>
  <si>
    <t>GGY</t>
  </si>
  <si>
    <t>JEY</t>
  </si>
  <si>
    <t>OWID_KOS</t>
  </si>
  <si>
    <t>MTQ</t>
  </si>
  <si>
    <t>MYT</t>
  </si>
  <si>
    <t>MSR</t>
  </si>
  <si>
    <t>NIU</t>
  </si>
  <si>
    <t>REU</t>
  </si>
  <si>
    <t>BLM</t>
  </si>
  <si>
    <t>SHN</t>
  </si>
  <si>
    <t>SPM</t>
  </si>
  <si>
    <t>TKL</t>
  </si>
  <si>
    <t>VAT</t>
  </si>
  <si>
    <t>WLF</t>
  </si>
  <si>
    <t>ESH</t>
  </si>
  <si>
    <t>OWID_WRL</t>
  </si>
  <si>
    <t>Life expectancy year data</t>
  </si>
  <si>
    <t>Median age year data</t>
  </si>
  <si>
    <t>Considering it occurs for 1 quarter (peak working volume)</t>
  </si>
  <si>
    <t>Waste parameters</t>
  </si>
  <si>
    <t>Central America and the Caribbean</t>
  </si>
  <si>
    <t>Northern Europe</t>
  </si>
  <si>
    <t>Western Europe</t>
  </si>
  <si>
    <t>South America</t>
  </si>
  <si>
    <t>Southern Europe</t>
  </si>
  <si>
    <t>Eastern Europe</t>
  </si>
  <si>
    <t>West Asia and North Africa</t>
  </si>
  <si>
    <t>Central and South Asia</t>
  </si>
  <si>
    <t>East and South-East Asia</t>
  </si>
  <si>
    <t>Oceania</t>
  </si>
  <si>
    <t>Australia and New Zealand</t>
  </si>
  <si>
    <t>Share Landfill</t>
  </si>
  <si>
    <t>Share Incinerated</t>
  </si>
  <si>
    <t>Share Mismanaged</t>
  </si>
  <si>
    <t>Share recycled</t>
  </si>
  <si>
    <t>Municipal waste management</t>
  </si>
  <si>
    <t>Plastic mismanagement</t>
  </si>
  <si>
    <t>Americas (excl. USA)</t>
  </si>
  <si>
    <t>Asia (excl. China and India)</t>
  </si>
  <si>
    <t>Source: OECD, 2019</t>
  </si>
  <si>
    <t>Source: UNEP and ISWA, 2024</t>
  </si>
  <si>
    <t>Share of plastic mismanaged</t>
  </si>
  <si>
    <t>Considering 2 weeks recovery time</t>
  </si>
  <si>
    <t>Moderate upper respiratory infections</t>
  </si>
  <si>
    <t>Mild anxiety disorders</t>
  </si>
  <si>
    <t>Injuries</t>
  </si>
  <si>
    <t>Share of salary impact (decrease)</t>
  </si>
  <si>
    <t>Budd and Na, 2000</t>
  </si>
  <si>
    <t>Country Code 2 digit</t>
  </si>
  <si>
    <t>Country Code 3 digit</t>
  </si>
  <si>
    <t>Country name</t>
  </si>
  <si>
    <t>Earning Premium Database</t>
  </si>
  <si>
    <t>UNEP and ISWA</t>
  </si>
  <si>
    <t>OECD, 2019</t>
  </si>
  <si>
    <t>Income level, World Bank (2024)</t>
  </si>
  <si>
    <t>AF</t>
  </si>
  <si>
    <t>Low-income countries</t>
  </si>
  <si>
    <t>AL</t>
  </si>
  <si>
    <t>Upper-middle-income countries</t>
  </si>
  <si>
    <t>DZ</t>
  </si>
  <si>
    <t>AD</t>
  </si>
  <si>
    <t>High-income countries</t>
  </si>
  <si>
    <t>AO</t>
  </si>
  <si>
    <t>Lower-middle-income countries</t>
  </si>
  <si>
    <t>AG</t>
  </si>
  <si>
    <t>Antigua</t>
  </si>
  <si>
    <t>AR</t>
  </si>
  <si>
    <t>AM</t>
  </si>
  <si>
    <t>AW</t>
  </si>
  <si>
    <t>AU</t>
  </si>
  <si>
    <t>AT</t>
  </si>
  <si>
    <t>AZ</t>
  </si>
  <si>
    <t>BS</t>
  </si>
  <si>
    <t>Bahamas</t>
  </si>
  <si>
    <t>BH</t>
  </si>
  <si>
    <t>BD</t>
  </si>
  <si>
    <t>BB</t>
  </si>
  <si>
    <t>BY</t>
  </si>
  <si>
    <t>BE</t>
  </si>
  <si>
    <t>BZ</t>
  </si>
  <si>
    <t>BJ</t>
  </si>
  <si>
    <t>BM</t>
  </si>
  <si>
    <t>BT</t>
  </si>
  <si>
    <t>BO</t>
  </si>
  <si>
    <t>BA</t>
  </si>
  <si>
    <t>BW</t>
  </si>
  <si>
    <t>BR</t>
  </si>
  <si>
    <t>VG</t>
  </si>
  <si>
    <t>BN</t>
  </si>
  <si>
    <t>Brunei</t>
  </si>
  <si>
    <t>BG</t>
  </si>
  <si>
    <t>BF</t>
  </si>
  <si>
    <t>BI</t>
  </si>
  <si>
    <t>KH</t>
  </si>
  <si>
    <t>CM</t>
  </si>
  <si>
    <t>CA</t>
  </si>
  <si>
    <t>CV</t>
  </si>
  <si>
    <t>Cape Verde</t>
  </si>
  <si>
    <t>KY</t>
  </si>
  <si>
    <t>CF</t>
  </si>
  <si>
    <t>TD</t>
  </si>
  <si>
    <t>CL</t>
  </si>
  <si>
    <t>CN</t>
  </si>
  <si>
    <t>CO</t>
  </si>
  <si>
    <t>CG</t>
  </si>
  <si>
    <t>Congo</t>
  </si>
  <si>
    <t>CR</t>
  </si>
  <si>
    <t>CI</t>
  </si>
  <si>
    <t>Cote dIvoire</t>
  </si>
  <si>
    <t>HR</t>
  </si>
  <si>
    <t>CU</t>
  </si>
  <si>
    <t>CY</t>
  </si>
  <si>
    <t>CZ</t>
  </si>
  <si>
    <t>DK</t>
  </si>
  <si>
    <t>DJ</t>
  </si>
  <si>
    <t>DO</t>
  </si>
  <si>
    <t>CD</t>
  </si>
  <si>
    <t>DR Congo</t>
  </si>
  <si>
    <t>EC</t>
  </si>
  <si>
    <t>EG</t>
  </si>
  <si>
    <t>SV</t>
  </si>
  <si>
    <t>ER</t>
  </si>
  <si>
    <t>EE</t>
  </si>
  <si>
    <t>ET</t>
  </si>
  <si>
    <t>FJ</t>
  </si>
  <si>
    <t>FI</t>
  </si>
  <si>
    <t>PF</t>
  </si>
  <si>
    <t>GA</t>
  </si>
  <si>
    <t>GM</t>
  </si>
  <si>
    <t>Gambia</t>
  </si>
  <si>
    <t>PS</t>
  </si>
  <si>
    <t>Gaza Strip</t>
  </si>
  <si>
    <t>GE</t>
  </si>
  <si>
    <t>DE</t>
  </si>
  <si>
    <t>GH</t>
  </si>
  <si>
    <t>GR</t>
  </si>
  <si>
    <t>GL</t>
  </si>
  <si>
    <t>GT</t>
  </si>
  <si>
    <t>GN</t>
  </si>
  <si>
    <t>GY</t>
  </si>
  <si>
    <t>HT</t>
  </si>
  <si>
    <t>HN</t>
  </si>
  <si>
    <t>HK</t>
  </si>
  <si>
    <t>HU</t>
  </si>
  <si>
    <t>IS</t>
  </si>
  <si>
    <t>IN</t>
  </si>
  <si>
    <t>ID</t>
  </si>
  <si>
    <t>IR</t>
  </si>
  <si>
    <t>IQ</t>
  </si>
  <si>
    <t>IE</t>
  </si>
  <si>
    <t>IL</t>
  </si>
  <si>
    <t>IT</t>
  </si>
  <si>
    <t>JM</t>
  </si>
  <si>
    <t>JP</t>
  </si>
  <si>
    <t>JO</t>
  </si>
  <si>
    <t>KZ</t>
  </si>
  <si>
    <t>KE</t>
  </si>
  <si>
    <t>KW</t>
  </si>
  <si>
    <t>KG</t>
  </si>
  <si>
    <t>LA</t>
  </si>
  <si>
    <t>Laos</t>
  </si>
  <si>
    <t>LV</t>
  </si>
  <si>
    <t>LB</t>
  </si>
  <si>
    <t>LS</t>
  </si>
  <si>
    <t>LR</t>
  </si>
  <si>
    <t>LY</t>
  </si>
  <si>
    <t>LI</t>
  </si>
  <si>
    <t>LT</t>
  </si>
  <si>
    <t>LU</t>
  </si>
  <si>
    <t>MO</t>
  </si>
  <si>
    <t>Macao SAR</t>
  </si>
  <si>
    <t>MG</t>
  </si>
  <si>
    <t>MW</t>
  </si>
  <si>
    <t>MY</t>
  </si>
  <si>
    <t>MV</t>
  </si>
  <si>
    <t>ML</t>
  </si>
  <si>
    <t>MT</t>
  </si>
  <si>
    <t>MR</t>
  </si>
  <si>
    <t>MU</t>
  </si>
  <si>
    <t>MX</t>
  </si>
  <si>
    <t>MD</t>
  </si>
  <si>
    <t>MC</t>
  </si>
  <si>
    <t>MN</t>
  </si>
  <si>
    <t>ME</t>
  </si>
  <si>
    <t>MA</t>
  </si>
  <si>
    <t>MZ</t>
  </si>
  <si>
    <t>MM</t>
  </si>
  <si>
    <t>NP</t>
  </si>
  <si>
    <t>NL</t>
  </si>
  <si>
    <t>NC</t>
  </si>
  <si>
    <t>NZ</t>
  </si>
  <si>
    <t>NI</t>
  </si>
  <si>
    <t>NE</t>
  </si>
  <si>
    <t>NG</t>
  </si>
  <si>
    <t>KP</t>
  </si>
  <si>
    <t>NO</t>
  </si>
  <si>
    <t>OM</t>
  </si>
  <si>
    <t>PK</t>
  </si>
  <si>
    <t>PA</t>
  </si>
  <si>
    <t>PG</t>
  </si>
  <si>
    <t>PY</t>
  </si>
  <si>
    <t>PE</t>
  </si>
  <si>
    <t>PH</t>
  </si>
  <si>
    <t>PL</t>
  </si>
  <si>
    <t>PT</t>
  </si>
  <si>
    <t>QA</t>
  </si>
  <si>
    <t>RO</t>
  </si>
  <si>
    <t>RU</t>
  </si>
  <si>
    <t>RW</t>
  </si>
  <si>
    <t>WS</t>
  </si>
  <si>
    <t>SM</t>
  </si>
  <si>
    <t>ST</t>
  </si>
  <si>
    <t>SA</t>
  </si>
  <si>
    <t>SN</t>
  </si>
  <si>
    <t>RS</t>
  </si>
  <si>
    <t>SC</t>
  </si>
  <si>
    <t>SL</t>
  </si>
  <si>
    <t>SG</t>
  </si>
  <si>
    <t>SK</t>
  </si>
  <si>
    <t>SI</t>
  </si>
  <si>
    <t>SO</t>
  </si>
  <si>
    <t>ZA</t>
  </si>
  <si>
    <t>KR</t>
  </si>
  <si>
    <t>SS</t>
  </si>
  <si>
    <t>ES</t>
  </si>
  <si>
    <t>LK</t>
  </si>
  <si>
    <t>SD</t>
  </si>
  <si>
    <t>SR</t>
  </si>
  <si>
    <t>SZ</t>
  </si>
  <si>
    <t>SE</t>
  </si>
  <si>
    <t>CH</t>
  </si>
  <si>
    <t>SY</t>
  </si>
  <si>
    <t>Syria</t>
  </si>
  <si>
    <t>TW</t>
  </si>
  <si>
    <t>TJ</t>
  </si>
  <si>
    <t>TZ</t>
  </si>
  <si>
    <t>MK</t>
  </si>
  <si>
    <t>TFYR Macedonia</t>
  </si>
  <si>
    <t>TH</t>
  </si>
  <si>
    <t>TG</t>
  </si>
  <si>
    <t>TT</t>
  </si>
  <si>
    <t>TN</t>
  </si>
  <si>
    <t>TR</t>
  </si>
  <si>
    <t>TM</t>
  </si>
  <si>
    <t>AE</t>
  </si>
  <si>
    <t>UAE</t>
  </si>
  <si>
    <t>UG</t>
  </si>
  <si>
    <t>GB</t>
  </si>
  <si>
    <t>UK</t>
  </si>
  <si>
    <t>UA</t>
  </si>
  <si>
    <t>UY</t>
  </si>
  <si>
    <t>US</t>
  </si>
  <si>
    <t>UZ</t>
  </si>
  <si>
    <t>VU</t>
  </si>
  <si>
    <t>VE</t>
  </si>
  <si>
    <t>Venezuela</t>
  </si>
  <si>
    <t>VN</t>
  </si>
  <si>
    <t>Viet Nam</t>
  </si>
  <si>
    <t>YE</t>
  </si>
  <si>
    <t>Yemen</t>
  </si>
  <si>
    <t>ZM</t>
  </si>
  <si>
    <t>ZW</t>
  </si>
  <si>
    <t>World Bank region</t>
  </si>
  <si>
    <t>World Bank income level</t>
  </si>
  <si>
    <t>Source unemployment data</t>
  </si>
  <si>
    <t>Year unemployment data</t>
  </si>
  <si>
    <t>Source informal work data</t>
  </si>
  <si>
    <t>Year informal work data</t>
  </si>
  <si>
    <t>Informal work share of total work (%)</t>
  </si>
  <si>
    <t>Informal work share of total work - Blanks filled (%)</t>
  </si>
  <si>
    <t>PC - Population and Housing Census</t>
  </si>
  <si>
    <t/>
  </si>
  <si>
    <t>LFS - Labour Force Survey</t>
  </si>
  <si>
    <t>LFS - Employment Survey</t>
  </si>
  <si>
    <t>PC - Population Census</t>
  </si>
  <si>
    <t>LFS - Permanent Household Survey, Urban</t>
  </si>
  <si>
    <t>HIES - Households Living Conditions Survey</t>
  </si>
  <si>
    <t>LFS - Household Labour Force Survey</t>
  </si>
  <si>
    <t>HIES - EU Statistics on Income and Living Conditions</t>
  </si>
  <si>
    <t>HIES - Living Standards Survey</t>
  </si>
  <si>
    <t>LFS - EU Labour Force Survey</t>
  </si>
  <si>
    <t>HIES - Monitoring Survey of the Modular and Integrated Survey of Household Living Conditions</t>
  </si>
  <si>
    <t>LFS - Regional Integrated Survey on Employment and the Informal Sector</t>
  </si>
  <si>
    <t>OE - Estimates of Central informatics organization</t>
  </si>
  <si>
    <t>LFS - Labour Force &amp; Household Survey</t>
  </si>
  <si>
    <t>Bolivia (Plurinational State of)</t>
  </si>
  <si>
    <t>LFS - Continuous Employment Survey</t>
  </si>
  <si>
    <t>HS - Continuous National Household Sample Survey</t>
  </si>
  <si>
    <t>HIES - Survey on Living Conditions</t>
  </si>
  <si>
    <t>HS - Multi-Topic Household Survey</t>
  </si>
  <si>
    <t>LFS - National Employment Survey</t>
  </si>
  <si>
    <t>Côte d'Ivoire</t>
  </si>
  <si>
    <t>HIES - Living Standards Measurement Survey</t>
  </si>
  <si>
    <t>HS - Household Survey</t>
  </si>
  <si>
    <t>Congo, Democratic Republic of the</t>
  </si>
  <si>
    <t>HIES - Indicator Cluster Survey</t>
  </si>
  <si>
    <t>LFS - Survey on Employment and household's living conditions</t>
  </si>
  <si>
    <t>LFS - Integrated Household Survey</t>
  </si>
  <si>
    <t>LFS - National Survey on Employment and the Informal Sector</t>
  </si>
  <si>
    <t>LFS - Continuous Multi-Objective Survey Employment and Labor Market Statistics</t>
  </si>
  <si>
    <t>LFS - Labour Force Sample Survey</t>
  </si>
  <si>
    <t>HS - Djiboutian Household Survey</t>
  </si>
  <si>
    <t>LFS - Continuous National Labour Force Survey</t>
  </si>
  <si>
    <t>LFS - Household Employment Survey</t>
  </si>
  <si>
    <t>LFS - National Survey on Employment, Unemployment and Underemployment</t>
  </si>
  <si>
    <t>LFS - National Labor Force Survey</t>
  </si>
  <si>
    <t>LFS - Employment, Unemployment Survey</t>
  </si>
  <si>
    <t>HIES - Household Income and Expenditure Survey</t>
  </si>
  <si>
    <t>LFS - National Employment and Unemployment Survey</t>
  </si>
  <si>
    <t>United Kingdom of Great Britain and Northern Ireland</t>
  </si>
  <si>
    <t>HIES - Harmonized Survey on Household Living Conditions</t>
  </si>
  <si>
    <t>Hong Kong, China</t>
  </si>
  <si>
    <t>LFS - General Household Survey</t>
  </si>
  <si>
    <t>HS - Continous Multi-Purpose Household Survey</t>
  </si>
  <si>
    <t>LFS - National Labour Force Survey</t>
  </si>
  <si>
    <t>LFS - Periodic Labour Force Survey</t>
  </si>
  <si>
    <t>LFS - Employment and Unemployment Survey</t>
  </si>
  <si>
    <t>LFS - Sample Survey of Employment</t>
  </si>
  <si>
    <t>HS - Continuous household survey</t>
  </si>
  <si>
    <t>HIES - Household Socio-Economic Survey</t>
  </si>
  <si>
    <t>Republic of Korea</t>
  </si>
  <si>
    <t>LFS - Economically Active Population Survey</t>
  </si>
  <si>
    <t>HIES - Labour and Income Panel Survey</t>
  </si>
  <si>
    <t>Lao People's Democratic Republic</t>
  </si>
  <si>
    <t>LFS - Integrated Labour Force Survey</t>
  </si>
  <si>
    <t>Macao, China</t>
  </si>
  <si>
    <t>Republic of Moldova</t>
  </si>
  <si>
    <t>HS - Periodic Household Survey</t>
  </si>
  <si>
    <t>LFS - National Occupation and Employment Survey</t>
  </si>
  <si>
    <t>HIES - Household Budget Survey</t>
  </si>
  <si>
    <t>LFS - Continuous Multi-Purpose Household Survey</t>
  </si>
  <si>
    <t>HIES - Integrated Household Survey</t>
  </si>
  <si>
    <t>HIES - National Survey on Household Living Conditions</t>
  </si>
  <si>
    <t>LFS - Unemployment, Under-employment Watch</t>
  </si>
  <si>
    <t>HIES - National Household Survey on Measuring Living Conditions</t>
  </si>
  <si>
    <t>LFS - Continous Household Survey</t>
  </si>
  <si>
    <t>OE - Official Estimates</t>
  </si>
  <si>
    <t>LFS - Labour Market Survey</t>
  </si>
  <si>
    <t>LFS - Permanent Employment Survey, National</t>
  </si>
  <si>
    <t>HS - Socio-Demographic and Economic Survey</t>
  </si>
  <si>
    <t>HS - Continuous Permanent Household Survey</t>
  </si>
  <si>
    <t>Occupied Palestinian Territory</t>
  </si>
  <si>
    <t>LFS - Labor Force Sample Survey</t>
  </si>
  <si>
    <t>LFS - Labor Market Panel Survey</t>
  </si>
  <si>
    <t>HS - Integrated Household Survey</t>
  </si>
  <si>
    <t>HS - Multi-purpose Household Survey</t>
  </si>
  <si>
    <t>OE - Estimates of the Office of economic planning, data processing and statistics</t>
  </si>
  <si>
    <t>HIES - Modular and Integrated Household Survey on Living Conditions</t>
  </si>
  <si>
    <t>HS - Informal Employment Survey</t>
  </si>
  <si>
    <t>LFS - Continuous Sample Survey of the Population</t>
  </si>
  <si>
    <t>LFS - National Population and Employment Survey</t>
  </si>
  <si>
    <t>Tanzania, United Republic of</t>
  </si>
  <si>
    <t>United States of America</t>
  </si>
  <si>
    <t>LFS - Current Population Survey</t>
  </si>
  <si>
    <t>Venezuela (Bolivarian Republic of)</t>
  </si>
  <si>
    <t>LFS - Household Sample Survey</t>
  </si>
  <si>
    <t>LFS - Quarterly Labour Force Survey</t>
  </si>
  <si>
    <t>Share of working age population in formal work (%)</t>
  </si>
  <si>
    <t>Unemployment rate (%)</t>
  </si>
  <si>
    <t>Baseline for job creation</t>
  </si>
  <si>
    <t>Project / engagement parameters</t>
  </si>
  <si>
    <t>Project name</t>
  </si>
  <si>
    <t>Country / region</t>
  </si>
  <si>
    <t>Currency</t>
  </si>
  <si>
    <t>Valuation parameters</t>
  </si>
  <si>
    <t>Discount rate</t>
  </si>
  <si>
    <t>Time horizon (years)</t>
  </si>
  <si>
    <t>eQALY monetary value</t>
  </si>
  <si>
    <t>USD/eQALY</t>
  </si>
  <si>
    <t>OECD GDP per capita</t>
  </si>
  <si>
    <t>Sub-system</t>
  </si>
  <si>
    <t>Ingredient</t>
  </si>
  <si>
    <t>M3 (%)</t>
  </si>
  <si>
    <t>M3 (g) /60g cup</t>
  </si>
  <si>
    <t>M4 (%)</t>
  </si>
  <si>
    <t>M4 (g) /60g cup</t>
  </si>
  <si>
    <t>A. NOODLE CAKE</t>
  </si>
  <si>
    <t>Noodle Cake</t>
  </si>
  <si>
    <t>Wheat Flour</t>
  </si>
  <si>
    <t>Palm Oil</t>
  </si>
  <si>
    <t>Sunflower Oil</t>
  </si>
  <si>
    <t>Modified Starch</t>
  </si>
  <si>
    <t>Salt (Noodle)</t>
  </si>
  <si>
    <t>Raising Agents (Sodium/Potassium Carbonates)</t>
  </si>
  <si>
    <t>SUBTOTAL — Noodle Cake</t>
  </si>
  <si>
    <t>B. SEASONING</t>
  </si>
  <si>
    <t>Seasoning</t>
  </si>
  <si>
    <t>Starch (Seasoning)</t>
  </si>
  <si>
    <t>Natural Flavourings</t>
  </si>
  <si>
    <t>Flavour Enhancers (E621 MSG + E635)</t>
  </si>
  <si>
    <t>Salt (Seasoning Bag)</t>
  </si>
  <si>
    <t>Carrot (dried)</t>
  </si>
  <si>
    <t>Oat Fibre</t>
  </si>
  <si>
    <t>Sugar</t>
  </si>
  <si>
    <t>Yeast Extract</t>
  </si>
  <si>
    <t>Garlic (dried)</t>
  </si>
  <si>
    <t>Chicken Fat</t>
  </si>
  <si>
    <t>Flavourings (Mixed)</t>
  </si>
  <si>
    <t>Lactose</t>
  </si>
  <si>
    <t>Colour — Plain Caramel (E150a)</t>
  </si>
  <si>
    <t>Spices (Mixed)</t>
  </si>
  <si>
    <t>Celery (dried)</t>
  </si>
  <si>
    <t>Natural Celery Flavouring</t>
  </si>
  <si>
    <t>Leek (dried)</t>
  </si>
  <si>
    <t>Parsley (dried)</t>
  </si>
  <si>
    <t>Chicken Meat (dried)</t>
  </si>
  <si>
    <t>Acidity Regulator (Citric Acid, E330)</t>
  </si>
  <si>
    <t>Soy Sauce (Seasoning Component)</t>
  </si>
  <si>
    <t>Malt Powder (Barley)</t>
  </si>
  <si>
    <t>SUBTOTAL — Seasoning</t>
  </si>
  <si>
    <t>GRAND TOTAL</t>
  </si>
  <si>
    <t xml:space="preserve"> </t>
  </si>
  <si>
    <t>2025</t>
  </si>
  <si>
    <t>Crop and animal production, hunting and related service activities</t>
  </si>
  <si>
    <t>Children</t>
  </si>
  <si>
    <t>Corporate Income Tax in USD</t>
  </si>
  <si>
    <t>Forced Labor in Persons</t>
  </si>
  <si>
    <t>Persons</t>
  </si>
  <si>
    <t>Jobs Created FTEs High-skilled in 1000 Persons</t>
  </si>
  <si>
    <t>Jobs Created FTEs Low-skilled in 1000 Persons</t>
  </si>
  <si>
    <t>Jobs Created FTEs Medium-skilled in 1000 Persons</t>
  </si>
  <si>
    <t>Personal Income Tax in USD</t>
  </si>
  <si>
    <t>Area of urban green space</t>
  </si>
  <si>
    <t>hectares</t>
  </si>
  <si>
    <t>people</t>
  </si>
  <si>
    <t>species</t>
  </si>
  <si>
    <t>ÀGORA PROJECT PARAMETERS</t>
  </si>
  <si>
    <t>Urban Green Space &amp; Biodiversity</t>
  </si>
  <si>
    <t>Parameter</t>
  </si>
  <si>
    <t>Number of plant species cultivated</t>
  </si>
  <si>
    <t>Daily Community Use</t>
  </si>
  <si>
    <t>Daily users (socialising, games, phone charging, etc.)</t>
  </si>
  <si>
    <t>People seeking shade daily during summer</t>
  </si>
  <si>
    <t>Population of El Raval neighbourhood</t>
  </si>
  <si>
    <t>Food &amp; Nutrition</t>
  </si>
  <si>
    <t>Meals served daily during Ramadan</t>
  </si>
  <si>
    <t>meals/day</t>
  </si>
  <si>
    <t>meals/year</t>
  </si>
  <si>
    <t>Community &amp; Cultural Engagement</t>
  </si>
  <si>
    <t>events/year</t>
  </si>
  <si>
    <t>organisations/year</t>
  </si>
  <si>
    <t>Social &amp; Legal Support Services</t>
  </si>
  <si>
    <t>people/year</t>
  </si>
  <si>
    <t>€/year</t>
  </si>
  <si>
    <t>women/year</t>
  </si>
  <si>
    <t>Childcare &amp; Education</t>
  </si>
  <si>
    <t>Children in daily morning childcare</t>
  </si>
  <si>
    <t>children/day</t>
  </si>
  <si>
    <t>Schoolchildren visiting the space monthly</t>
  </si>
  <si>
    <t>children/month</t>
  </si>
  <si>
    <t>Primary data (Àgora)</t>
  </si>
  <si>
    <t>IMPACT: Ecosystem Services Value</t>
  </si>
  <si>
    <t>Sub-component</t>
  </si>
  <si>
    <t>Method</t>
  </si>
  <si>
    <t>Air purification value</t>
  </si>
  <si>
    <t>€/ha/year</t>
  </si>
  <si>
    <t>Benefit transfer (TEEB)</t>
  </si>
  <si>
    <t>Carbon sequestration value</t>
  </si>
  <si>
    <t>kg C/ha/year</t>
  </si>
  <si>
    <t>Biophysical (i-Tree)</t>
  </si>
  <si>
    <t>Social cost of carbon (EU ETS)</t>
  </si>
  <si>
    <t>€/kgCO2e</t>
  </si>
  <si>
    <t>Market price</t>
  </si>
  <si>
    <t>Contingent valuation</t>
  </si>
  <si>
    <t>Avoided cost</t>
  </si>
  <si>
    <t>Biodiversity / habitat value (800 species)</t>
  </si>
  <si>
    <t>Benefit transfer</t>
  </si>
  <si>
    <t>TOTAL annual ecosystem service value</t>
  </si>
  <si>
    <t>people/day</t>
  </si>
  <si>
    <t>Barcelona City Council statistics</t>
  </si>
  <si>
    <t>Operating days per year</t>
  </si>
  <si>
    <t>Assumption</t>
  </si>
  <si>
    <t>IMPACT 2a: Social Connectedness &amp; Wellbeing</t>
  </si>
  <si>
    <t>€/person/year</t>
  </si>
  <si>
    <t>proportion</t>
  </si>
  <si>
    <t>Derived</t>
  </si>
  <si>
    <t>Summer days in Barcelona (Jun-Sep)</t>
  </si>
  <si>
    <t>June-September ≈ 120 days</t>
  </si>
  <si>
    <t>Avoided heat-related health cost per person-day of shade access</t>
  </si>
  <si>
    <t>€/person-day</t>
  </si>
  <si>
    <t>Avoided cost (est.)</t>
  </si>
  <si>
    <t>Total annual heat relief value</t>
  </si>
  <si>
    <t>IMPACT 2c: Civic Pride &amp; Existence Value (El Raval)</t>
  </si>
  <si>
    <t>WTP for community heritage / neighbourhood identity</t>
  </si>
  <si>
    <t>€/household/year</t>
  </si>
  <si>
    <t>Households in El Raval (avg 2.5 persons/HH)</t>
  </si>
  <si>
    <t>households</t>
  </si>
  <si>
    <t>47,274 pop ÷ 2.5 avg household size</t>
  </si>
  <si>
    <t>Proportion of HH aware of / valuing Àgora</t>
  </si>
  <si>
    <t>TOTAL annual civic pride / existence value</t>
  </si>
  <si>
    <t>Duration of Ramadan</t>
  </si>
  <si>
    <t>Fixed parameter</t>
  </si>
  <si>
    <t>Total Ramadan meals per year</t>
  </si>
  <si>
    <t>100 meals/day × 30 days</t>
  </si>
  <si>
    <t>Free meals distributed annually (weekly)</t>
  </si>
  <si>
    <t>Primary data (~100 meals/week × 52)</t>
  </si>
  <si>
    <t>Affordable meals served at events (≤€5)</t>
  </si>
  <si>
    <t>Primary data (~200 meals/event × 50 events)</t>
  </si>
  <si>
    <t>IMPACT 3a: Nutritional Benefit &amp; Avoided Malnutrition (Free/Ramadan Meals)</t>
  </si>
  <si>
    <t>Market replacement cost of a meal (Barcelona)</t>
  </si>
  <si>
    <t>€/meal</t>
  </si>
  <si>
    <t>Market replacement cost</t>
  </si>
  <si>
    <t>eQALY standard</t>
  </si>
  <si>
    <t>eQALY methodology (template standard)</t>
  </si>
  <si>
    <t>Disability weight: moderate food insecurity / undernutrition</t>
  </si>
  <si>
    <t>DW (0-1)</t>
  </si>
  <si>
    <t>GBD 2019</t>
  </si>
  <si>
    <t>Proportion of free-meal recipients at risk of food insecurity</t>
  </si>
  <si>
    <t>Duration of DALY benefit per meal (fraction of day)</t>
  </si>
  <si>
    <t>DALY-years per day</t>
  </si>
  <si>
    <t>1 meal averts 1 day of food insecurity = 1/365 year</t>
  </si>
  <si>
    <t>Unique meal recipients (Ramadan + weekly free)</t>
  </si>
  <si>
    <t>A. Total avoided meal cost (free meals only)</t>
  </si>
  <si>
    <t>B. DALYs averted (nutritional benefit)</t>
  </si>
  <si>
    <t>DALYs/year</t>
  </si>
  <si>
    <t>C. Monetised DALY value of nutrition benefit</t>
  </si>
  <si>
    <t>Price paid per affordable meal (≤€5)</t>
  </si>
  <si>
    <t>Input</t>
  </si>
  <si>
    <t>Consumer surplus per meal (market price − price paid)</t>
  </si>
  <si>
    <t>€8 market replacement − €5 price paid</t>
  </si>
  <si>
    <t>Total consumer surplus (affordable meals)</t>
  </si>
  <si>
    <t>10,000 meals × €3 surplus</t>
  </si>
  <si>
    <t>IMPACT 3c: Ramadan Community Cohesion</t>
  </si>
  <si>
    <t>Literary / cultural events per year</t>
  </si>
  <si>
    <t>Estimated attendees per event</t>
  </si>
  <si>
    <t>people/event</t>
  </si>
  <si>
    <t>Collectives / associations using space annually</t>
  </si>
  <si>
    <t>IMPACT 4a: Cultural Participation Value</t>
  </si>
  <si>
    <t>WTP for free community cultural event attendance</t>
  </si>
  <si>
    <t>€/attendance</t>
  </si>
  <si>
    <t>WTP / market proxy</t>
  </si>
  <si>
    <t>Total event attendances per year</t>
  </si>
  <si>
    <t>attendances/year</t>
  </si>
  <si>
    <t>Total cultural participation value</t>
  </si>
  <si>
    <t>IMPACT 4b: Social Capital from Collective Space Use</t>
  </si>
  <si>
    <t>Avoided venue hire cost (market replacement)</t>
  </si>
  <si>
    <t>€/session</t>
  </si>
  <si>
    <t>Avg sessions per collective per year</t>
  </si>
  <si>
    <t>sessions/org/year</t>
  </si>
  <si>
    <t>Total social capital / avoided venue cost</t>
  </si>
  <si>
    <t>People supported in obtaining replacement passports</t>
  </si>
  <si>
    <t>Legal aid &amp; family support for sex workers (budget)</t>
  </si>
  <si>
    <t>Fines paid on behalf of community members (fund)</t>
  </si>
  <si>
    <t>Women receiving Punto Lila (SIDA) advice annually</t>
  </si>
  <si>
    <t>Avoided cost of immigration lawyer / consular fees</t>
  </si>
  <si>
    <t>€/person</t>
  </si>
  <si>
    <t>Estimated number of women supported per year</t>
  </si>
  <si>
    <t>Avoided private legal cost per case</t>
  </si>
  <si>
    <t>€/case</t>
  </si>
  <si>
    <t>Multiplier for family benefit (avg 1.5 dependents)</t>
  </si>
  <si>
    <t>multiplier</t>
  </si>
  <si>
    <t>Fines fund disbursed</t>
  </si>
  <si>
    <t>Direct spend</t>
  </si>
  <si>
    <t>= €4,000 fund</t>
  </si>
  <si>
    <t>Average fine amount per person</t>
  </si>
  <si>
    <t>€/fine</t>
  </si>
  <si>
    <t>Number of people helped</t>
  </si>
  <si>
    <t>€4,000 ÷ €200/fine</t>
  </si>
  <si>
    <t>Avoided interest / escalation penalty (additional surcharge)</t>
  </si>
  <si>
    <t>surcharge rate</t>
  </si>
  <si>
    <t>Spanish fine law</t>
  </si>
  <si>
    <t>Avoided cost of professional health advice (per session)</t>
  </si>
  <si>
    <t>Barcelona private health consultation rates</t>
  </si>
  <si>
    <t>Avg sessions per woman per year</t>
  </si>
  <si>
    <t>sessions/woman/year</t>
  </si>
  <si>
    <t>DALYs averted per woman from early HIV/STI intervention</t>
  </si>
  <si>
    <t>DALYs/woman/year</t>
  </si>
  <si>
    <t>GBD 2019 + probability</t>
  </si>
  <si>
    <t>School months per year</t>
  </si>
  <si>
    <t>months/year</t>
  </si>
  <si>
    <t>Spanish school calendar (Sep-Jun)</t>
  </si>
  <si>
    <t>Childcare operating months per year</t>
  </si>
  <si>
    <t>Avoided childcare cost per child per month (public Barcelona)</t>
  </si>
  <si>
    <t>€/child/month</t>
  </si>
  <si>
    <t>Parental hourly wage (El Raval, low-income)</t>
  </si>
  <si>
    <t>€/hour</t>
  </si>
  <si>
    <t>Market wage</t>
  </si>
  <si>
    <t>Morning childcare hours per day</t>
  </si>
  <si>
    <t>hours/day</t>
  </si>
  <si>
    <t>Working days per month</t>
  </si>
  <si>
    <t>days/month</t>
  </si>
  <si>
    <t>Standard</t>
  </si>
  <si>
    <t>Standard working month</t>
  </si>
  <si>
    <t>Proportion of parents who can work due to childcare</t>
  </si>
  <si>
    <t>A. Total avoided childcare cost</t>
  </si>
  <si>
    <t>10 children × €200/mo × 10 months</t>
  </si>
  <si>
    <t>B. Parental earnings enabled (labour force participation)</t>
  </si>
  <si>
    <t>Total school visits per year</t>
  </si>
  <si>
    <t>child-visits/year</t>
  </si>
  <si>
    <t>150 children/month × 10 months</t>
  </si>
  <si>
    <t>Cost of comparable outdoor environmental education (Barcelona)</t>
  </si>
  <si>
    <t>€/child-visit</t>
  </si>
  <si>
    <t>Long-term pro-environmental behaviour uplift (per child)</t>
  </si>
  <si>
    <t>€/unique child/year</t>
  </si>
  <si>
    <t>Benefit transfer (est.)</t>
  </si>
  <si>
    <t>Unique schoolchildren per year (est. 3 visits each)</t>
  </si>
  <si>
    <t>1,500 visits ÷ 3 visits per child</t>
  </si>
  <si>
    <t>A. Total education programme value (market cost)</t>
  </si>
  <si>
    <t>1,500 visits × €15/visit</t>
  </si>
  <si>
    <t>B. Long-term pro-environmental behaviour value</t>
  </si>
  <si>
    <t>500 unique children × €50</t>
  </si>
  <si>
    <t>ÀGORA IMPACT SUMMARY</t>
  </si>
  <si>
    <t>Impact Category</t>
  </si>
  <si>
    <t>Annual Value (€)</t>
  </si>
  <si>
    <t>Notes</t>
  </si>
  <si>
    <t>1. Ecosystem Services (urban green space)</t>
  </si>
  <si>
    <t>2a. Social Connectedness &amp; Wellbeing</t>
  </si>
  <si>
    <t>2b. Heat Relief / Wellbeing</t>
  </si>
  <si>
    <t>2c. Civic Pride &amp; Existence Value</t>
  </si>
  <si>
    <t>WTP by El Raval households</t>
  </si>
  <si>
    <t>3a. Nutritional Benefit (free meals)</t>
  </si>
  <si>
    <t>Avoided meal cost</t>
  </si>
  <si>
    <t>Market price – price paid</t>
  </si>
  <si>
    <t>3c. Ramadan Community Cohesion</t>
  </si>
  <si>
    <t>4a. Cultural Participation Value</t>
  </si>
  <si>
    <t>Literary/cultural events × WTP</t>
  </si>
  <si>
    <t>4b. Social Capital (collective space use)</t>
  </si>
  <si>
    <t>Avoided venue hire</t>
  </si>
  <si>
    <t>Replacement childcare market cost</t>
  </si>
  <si>
    <t>Labour force participation uplift</t>
  </si>
  <si>
    <t>Market replacement + long-term behaviour</t>
  </si>
  <si>
    <t>IMPACT 3b: Affordable Meals - Consumer Surplus</t>
  </si>
  <si>
    <t>Primary data - max price €5</t>
  </si>
  <si>
    <t>IMPACT 5a: Passport Support - Wellbeing &amp; Avoided Costs</t>
  </si>
  <si>
    <t>IMPACT 5b: Legal Aid for Sex Workers - Wellbeing &amp; Family Protection</t>
  </si>
  <si>
    <t>IMPACT 5c: Fines Fund - Avoided Escalation Costs</t>
  </si>
  <si>
    <t>IMPACT 5d: Punto Lila (SIDA) - Health &amp; Wellbeing Advice</t>
  </si>
  <si>
    <t>IMPACT 6a: Childcare - Parental Labour Force Participation</t>
  </si>
  <si>
    <t>IMPACT 6b: School Visits - Environmental &amp; Social Education</t>
  </si>
  <si>
    <t>6a. Childcare - Avoided Cost</t>
  </si>
  <si>
    <t>6a. Childcare - Parental Earnings Enabled</t>
  </si>
  <si>
    <t>6b. School Visits - Education Value</t>
  </si>
  <si>
    <t>3b. Affordable meals</t>
  </si>
  <si>
    <t>Duration of benefit (proportion of year)</t>
  </si>
  <si>
    <t>year fraction</t>
  </si>
  <si>
    <t>DALY monetary value</t>
  </si>
  <si>
    <t>GBD DW: mild MDD averted (community cohesion / reduced isolation)</t>
  </si>
  <si>
    <t>Duration of benefit (proportion of year: 30 days Ramadan)</t>
  </si>
  <si>
    <t>Total Ramadan community DALY value</t>
  </si>
  <si>
    <t>GBD DW: moderate anxiety averted (identity documentation stress)</t>
  </si>
  <si>
    <t>Duration of resolved anxiety (proportion of year)</t>
  </si>
  <si>
    <t>GBD DW: moderate anxiety averted (arrest trauma / legal threat)</t>
  </si>
  <si>
    <t>GBD DW: mild anxiety averted (debt/fine stress)</t>
  </si>
  <si>
    <t>Duration of resolved stress (proportion of year)</t>
  </si>
  <si>
    <t>GBD DW: moderate anxiety averted (violence/sexual health threat)</t>
  </si>
  <si>
    <t>Link</t>
  </si>
  <si>
    <t>Avoided meal cost (EUR)</t>
  </si>
  <si>
    <t>Source Link</t>
  </si>
  <si>
    <t>From conversations with representatives of Àgora</t>
  </si>
  <si>
    <t>https://doi.org/10.1007/s13280-014-0507-x</t>
  </si>
  <si>
    <t>https://doi.org/10.1021/acs.est.0c04740</t>
  </si>
  <si>
    <t>EU ETS market price</t>
  </si>
  <si>
    <t>https://doi.org/10.1061/(ASCE)UP.1943-5444.0000700</t>
  </si>
  <si>
    <t>TEEB database + Baró et al. 2014 (Barcelona context)</t>
  </si>
  <si>
    <t>https://ghdx.healthdata.org/record/ihme-data/gbd-2019-disability-weights</t>
  </si>
  <si>
    <t>eQALY template standard</t>
  </si>
  <si>
    <t>https://oppla.eu/casestudy/23345</t>
  </si>
  <si>
    <t>Barcelona community venue hire rates (Ciutat Vella)</t>
  </si>
  <si>
    <t>Barcelona immigration legal market rates</t>
  </si>
  <si>
    <t>Barcelona private legal fees (criminal/family law)</t>
  </si>
  <si>
    <t>Ley General Tributaria (Spanish fine escalation law)</t>
  </si>
  <si>
    <t>https://www.expatica.com/es/living/family/preschool-spain-107654/</t>
  </si>
  <si>
    <t>INE (Instituto Nacional de Estadística)</t>
  </si>
  <si>
    <t>Barcelona outdoor education programme rates (market comparison)</t>
  </si>
  <si>
    <t>https://www.teebweb.org/wp-content/uploads/2014/03/TEEB-Database-and-Valuation-Manual_2013.pdf</t>
  </si>
  <si>
    <t>Volunteers preparing/serving food per session</t>
  </si>
  <si>
    <t>Hours per volunteer per session</t>
  </si>
  <si>
    <t>hours/session</t>
  </si>
  <si>
    <t>Food service sessions per year</t>
  </si>
  <si>
    <t>sessions/year</t>
  </si>
  <si>
    <t>Equivalent hourly wage (basic food service, Barcelona)</t>
  </si>
  <si>
    <t>Total avoided employment cost (volunteer food prep)</t>
  </si>
  <si>
    <t>3d. Volunteer Labour (food prep)</t>
  </si>
  <si>
    <t>Avoided employment cost</t>
  </si>
  <si>
    <t>Barcelona private SRH consultation rates</t>
  </si>
  <si>
    <t>Source: Chaparro &amp; Terradas, Barcelona urban forest study. €1,115,908/10.98 km² ≈ €1,016/ha for Barcelona; using broader TEEB urban estimates of €15,952/ha/yr for urban green space air quality. Baró et al. (2014), Ambio 43: 466-479.</t>
  </si>
  <si>
    <t>EU ETS carbon price ~€80-100/tCO2e. Using €100/tCO2 = €0.1/kgCO2. CO2 = C × 3.67.</t>
  </si>
  <si>
    <t>TEEB urban habitat services. Barcelona inner-city has very low green space (6.8 m²/cap vs 14 m² EU avg). 800 species in 0.07 ha = exceptionally high biodiversity density. Baró et al. (2014).</t>
  </si>
  <si>
    <t>Assumed ~300 operating days/year (excluding major holidays, closures).</t>
  </si>
  <si>
    <t>GBD 2019 DW. Mild anxiety DW = 0.030 (95% UI: 0.018-0.046). Proxy for reduced social isolation / loneliness. Salomon et al. 2015. https://ghdx.healthdata.org/record/ihme-data/gbd-2019-disability-weights</t>
  </si>
  <si>
    <t>Heat-health literature. Vulnerable populations face heat stress in El Raval. Avoided ED visit probability × cost: 0.5% × €300 = €1.50/person-day. Also captures reduced dehydration risk, improved sleep.</t>
  </si>
  <si>
    <t>Existence value / WTP for heritage in marginalised communities. WTP for cultural heritage in Spain: €2-8/HH/yr for neighbourhood projects. Conservative €5/HH/yr. Seville WTP study (J. Urban Plan. &amp; Dev. 2021); Barcelona garden studies (Oppla/EEA).</t>
  </si>
  <si>
    <t>Ramadan 2026: approx. 17 Feb – 18 Mar (29-30 days). Using 30. https://islamic-relief.org/giving/islamic-giving/ramadan/ramadan-timetable/</t>
  </si>
  <si>
    <t>Average cost of a basic meal (menú del día) in El Raval: €8-12. Using €8 as floor for nutritionally adequate substitute. Numbeo Barcelona 2024.</t>
  </si>
  <si>
    <t>eQALY template standard DALY value (USD). Consistent with Ørsted model. 1 DALY = $59,446.</t>
  </si>
  <si>
    <t>GBD 2019 DW. Moderate protein-energy malnutrition DW = 0.051 (95% UI: 0.031-0.079). GBD 2019 Supplementary appendix.</t>
  </si>
  <si>
    <t>Estimated prep + cooking + serving + clean-up: ~4 hrs per session. From conversations with Àgora representatives.</t>
  </si>
  <si>
    <t>Spain min wage 2025: ~€7.40/hr. Kitchen/food service in Barcelona: €9-12/hr. Using €10/hr. INE / Convenio colectivo hostelería Barcelona.</t>
  </si>
  <si>
    <t>GBD 2019 DW. Mild MDD DW = 0.145 (95% UI: 0.099-0.209). Proxy for wellbeing uplift from communal iftar reducing depression/isolation among vulnerable migrants. https://ghdx.healthdata.org/record/ihme-data/gbd-2019-disability-weights</t>
  </si>
  <si>
    <t>30 days / 365 = 0.082. Ramadan 2026: Feb 17 – Mar 18. https://islamic-relief.org/giving/islamic-giving/ramadan/ramadan-timetable/</t>
  </si>
  <si>
    <t>CV of cultural events in Spain. Proxy: ticket price for comparable community literary events in Barcelona (€8-15). WTP = €12/attendance. Also reflects social value of intercultural exchange. Informed by HACT values for 'attending arts/cultural events'.</t>
  </si>
  <si>
    <t>Community space rental, Ciutat Vella, Barcelona. Small community rooms: €100-300/session. Using €200 mid-point for half-day use.</t>
  </si>
  <si>
    <t>Each collective uses the space ~6 times per year (approx. bimonthly).</t>
  </si>
  <si>
    <t>Immigration legal consultation in Barcelona: €200-800 depending on complexity. Consular passport fees: €30-150. Total avoided cost ~€500/person. Balcells Group Barcelona immigration fees guide.</t>
  </si>
  <si>
    <t>Passport resolution takes ~6 months; person benefits from reduced anxiety for remaining ~6 months (0.5yr fraction). Conservative.</t>
  </si>
  <si>
    <t>Estimated: €10,000 budget / ~€400 per case (legal consultation + family support per incident).</t>
  </si>
  <si>
    <t>Private criminal/family lawyer in Spain: €500-1,200/case. Using €800 mid-point for basic representation.</t>
  </si>
  <si>
    <t>GBD 2019 DW. Moderate anxiety DW = 0.133. Proxy for arrest trauma, criminal proceedings, family separation. Moderate is conservative given compounding vulnerabilities. https://ghdx.healthdata.org/record/ihme-data/gbd-2019-disability-weights</t>
  </si>
  <si>
    <t>Legal support resolves or mitigates anxiety for ~6 months post-intervention.</t>
  </si>
  <si>
    <t>Typical municipal fines in El Raval: €100-400. Using €200 average.</t>
  </si>
  <si>
    <t>Spanish municipal fines typically double after voluntary payment period. 50% surcharge for unpaid fines (vía ejecutiva). Ley General Tributaria.</t>
  </si>
  <si>
    <t>GBD 2019 DW. Mild anxiety DW = 0.030 (95% UI: 0.018-0.046). Proxy for stress of unpaid fines, immigration complications. Mild because fines contribute to broader anxiety, not sole cause. https://ghdx.healthdata.org/record/ihme-data/gbd-2019-disability-weights</t>
  </si>
  <si>
    <t>Fine resolution removes stress for ~6 months of the year.</t>
  </si>
  <si>
    <t>Private SRH consultation in Barcelona: €50-80/session. Using €60 conservative mid-point.</t>
  </si>
  <si>
    <t>~3 advice sessions per woman per year (initial + follow-ups).</t>
  </si>
  <si>
    <t>GBD 2019 DW. Moderate anxiety DW = 0.133. Proxy for anxiety from sexual violence risk, marginalisation, sexual health uncertainty. https://ghdx.healthdata.org/record/ihme-data/gbd-2019-disability-weights</t>
  </si>
  <si>
    <t>GBD 2019. HIV DW (untreated) = 0.274. Probability of advice preventing STI/HIV: ~5-10%. DALY averted ≈ 0.08 × 0.274 = 0.022. Conservative.</t>
  </si>
  <si>
    <t>Advice and support provide anxiety relief for ~6 months per year.</t>
  </si>
  <si>
    <t>Conservative: avoided cost only. Previous methodology stacked avoided cost + anxiety DALY + HIV DALY producing ~€800k. This uses only market replacement cost of equivalent professional SRH consultations.</t>
  </si>
  <si>
    <t>Spanish school year: September to June = 10 months.</t>
  </si>
  <si>
    <t>Morning childcare runs during school term (10 months, Sep-Jun).</t>
  </si>
  <si>
    <t>Barcelona public nursery costs €50-395/month (income-dependent). Private: €350-800/month. Using €200/month as mid-range for low-income El Raval families. BCN Ideal Services (2025); Expatica; Balcells Group.</t>
  </si>
  <si>
    <t>Spain min wage 2025: €1,184/month / ~160 hrs = €7.40/hr. El Raval low-income workers ~€8.50/hr (slightly above min). INE.</t>
  </si>
  <si>
    <t>Morning session: approx. 08:00-12:00 (4 hours).</t>
  </si>
  <si>
    <t>70% of parents whose children attend morning childcare use that time for paid work. Others: errands, healthcare, job searching.</t>
  </si>
  <si>
    <t>Comparable outdoor environmental education in Barcelona: €10-20/child/session. Using €15 mid-point.</t>
  </si>
  <si>
    <t>Long-term value of environmental education. Early enviro-ed → stronger pro-environmental attitudes in adulthood. Lifetime behavioural change value (discounted): ~€50/child as conservative floor. TEEB education values.</t>
  </si>
  <si>
    <t>Justification / Notes</t>
  </si>
  <si>
    <t>eQALY methodology (Parameters Generic sheet)</t>
  </si>
  <si>
    <t>ECB average 2023</t>
  </si>
  <si>
    <t>Parameters (Generic) sheet B3</t>
  </si>
  <si>
    <t>https://www.ecb.europa.eu/stats/exchange/eurofxref/html/eurofxref-graph-usd.en.html</t>
  </si>
  <si>
    <t>DALY monetary value (linked)</t>
  </si>
  <si>
    <t>= DALYs averted × DALY value (B4) ÷ USD/EUR (B8)</t>
  </si>
  <si>
    <t>= avoided cost (€) + people × DW × duration × DALY (B4) ÷ USD/EUR (B8)</t>
  </si>
  <si>
    <t>= avoided cost (€) + people × DW × duration × DALY (B4) ÷ USD/EUR (B8) × family multiplier</t>
  </si>
  <si>
    <t>= direct fund (€) + surcharge + people × DW × duration × DALY (B4) ÷ USD/EUR (B8)</t>
  </si>
  <si>
    <t>TOTAL ANNUAL IMPACT (€)</t>
  </si>
  <si>
    <t>3a. DALY benefit of nutrition</t>
  </si>
  <si>
    <t>Noise reduction / acoustic refuge</t>
  </si>
  <si>
    <t>https://doi.org/10.3390/su14127079</t>
  </si>
  <si>
    <t>Pollination services (800 spp. pollinator habitat)</t>
  </si>
  <si>
    <t>https://doi.org/10.1038/s41559-018-0769-y</t>
  </si>
  <si>
    <t>Microclimate regulation / heat relief (summer shade)</t>
  </si>
  <si>
    <t>Avoided health cost</t>
  </si>
  <si>
    <t>EEA Climate-ADAPT Barcelona + from conversations with Àgora</t>
  </si>
  <si>
    <t>Mental health restoration (biophilic stress reduction)</t>
  </si>
  <si>
    <t>https://doi.org/10.3390/su8111156</t>
  </si>
  <si>
    <t>Distinct from social connectedness (2a counts social interaction). This captures the biophilic response: reduced cortisol, blood pressure from exposure to green space. Munich urban woodland recreation valued up to €15,440/ha (MDPI Sustainability 2016). Conservative €8,000/ha for small community garden.</t>
  </si>
  <si>
    <t>All regulating + supporting + provisioning ES × area (0.07ha). Microclimate regulation (heat relief) folded in at per-ha rate. Recreation/cultural WTP excluded (double-count with 2a, 4a).</t>
  </si>
  <si>
    <t>Microclimate regulation is a regulating ES. This value (€10,800/yr) is now included in the ES total at B183 via the per-ha rate in B180. Set to €0 here to avoid double-count.</t>
  </si>
  <si>
    <t>11 sub-components incl. noise, pollination, food, microclimate, mental health</t>
  </si>
  <si>
    <t>CO₂/C molecular weight ratio (physical constant)</t>
  </si>
  <si>
    <t>kgCO₂/kgC</t>
  </si>
  <si>
    <t>Physical constant</t>
  </si>
  <si>
    <t>MW(CO₂)=44 / MW(C)=12 = 3.667</t>
  </si>
  <si>
    <t>Physical constant: 44/12 = 3.667. Carbon sequestration (kgC) must be converted to CO₂-equivalent for pricing.</t>
  </si>
  <si>
    <t>=B189 (47,274 pop) / 2.5 (avg persons/HH, INE Spain). The 2.5 is a standard Spanish demographic constant.</t>
  </si>
  <si>
    <t>=200 meals/event × 50 events/year. Both values from conversations with Àgora representatives. Should ideally be in separate labelled cells.</t>
  </si>
  <si>
    <t>=52 (weeks/year, structural constant) + B221 (30 Ramadan days). 52 is a calendar constant.</t>
  </si>
  <si>
    <t>Regular attendees (attend most/all 30 days)</t>
  </si>
  <si>
    <t>From conversations with Àgora</t>
  </si>
  <si>
    <t>100 meals/day: ~70 regulars who come every day or nearly. These get the full 30-day community cohesion benefit.</t>
  </si>
  <si>
    <t>Avg days attended by regulars</t>
  </si>
  <si>
    <t>Conservative: most days but not all 30</t>
  </si>
  <si>
    <t>Conservative: regulars attend ~25 of 30 days (miss a few for illness, travel, work).</t>
  </si>
  <si>
    <t>Rotating attendees (attend 1-3 days each)</t>
  </si>
  <si>
    <t>unique people</t>
  </si>
  <si>
    <t>30 remaining daily slots (100-70) × 30 days = 900 meal-slots filled by rotating visitors. If each comes ~2 times on average, that’s ~450 unique people.</t>
  </si>
  <si>
    <t>Avg days attended by rotating visitors</t>
  </si>
  <si>
    <t>One-off or occasional attendance</t>
  </si>
  <si>
    <t>Rotating visitors come 1-3 times. Using 2 as average. Each gets a much smaller wellbeing uplift.</t>
  </si>
  <si>
    <t>Two-cohort model: regulars get 25/365 year-fraction of mild MDD DW benefit; rotating visitors get 2/365. Much more conservative than treating all 150 people as getting the full 30/365 duration.</t>
  </si>
  <si>
    <t>All EUR. DALY-based lines converted from USD via B8 FX rate.</t>
  </si>
  <si>
    <t>DALY-based (food insecurity DW 0.051)</t>
  </si>
  <si>
    <t>DALY-based (mild MDD DW 0.145, two-cohort model)</t>
  </si>
  <si>
    <t>=60 people × 120 days × €1.50/person-day</t>
  </si>
  <si>
    <t>Primary calculation. Referenced by ES section (B179) as per-ha rate.</t>
  </si>
  <si>
    <t>=B207 (€10,800) ÷ B165 (0.07 ha)</t>
  </si>
  <si>
    <t>References Impact 2b total. Converts to per-ha for ES bundle.</t>
  </si>
  <si>
    <t>Folded into ES total (row 183) via B179. €0 here to avoid double-count.</t>
  </si>
  <si>
    <t>QALY decrement: loneliness averted (Tier 1)</t>
  </si>
  <si>
    <t>QALY/person/year</t>
  </si>
  <si>
    <t>QALY decrement (EQ-5D)</t>
  </si>
  <si>
    <t>QALY decrement: social isolation averted (Tier 2)</t>
  </si>
  <si>
    <t>USD/DALY (converted to EUR via B8)</t>
  </si>
  <si>
    <t>TOTAL: Tier 1 (regulars × loneliness relief)</t>
  </si>
  <si>
    <t>TOTAL: Tier 2 (semi-regular × isolation relief)</t>
  </si>
  <si>
    <t>Two-tier QALY model: loneliness (0.061) + social isolation (0.020)</t>
  </si>
  <si>
    <t>Notes / Basis</t>
  </si>
  <si>
    <t>Birmingham woodland study (€1,030/ha); El Raval = one of BCN's noisiest barrios (La Rambla, Paral·lel traffic, nightlife). Enclosed courtyard provides acoustic refuge.</t>
  </si>
  <si>
    <t>TEEB 2010 - global insect pollination value estimated at €153 billion/yr. Urban community gardens are documented pollinator hotspots (Baldock et al. 2019, Nature Ecology &amp; Evolution). Àgora's 800 plant species on 0.07 ha = exceptionally high botanical density (~11,400 species/ha equivalent), providing floral resources for wild bees, hoverflies, and butterflies year-round in Barcelona's Mediterranean climate. El Raval has almost no other green space (neighbouring Sant Antoni has only 0.87 m²/capita). This makes Àgora a critical 'stepping stone' habitat for urban pollinators in Barcelona's densest district. €2,000/ha is conservative: de Groot et al. (2012) estimated median pollination value for cultivated land at $2,913/ha/yr; urban gardens with high floral diversity likely exceed this. Transfer adjusted downward given Àgora's very small area (edge effects limit foraging range).</t>
  </si>
  <si>
    <t>Annual unique visitors to the space (approx 19 per day)</t>
  </si>
  <si>
    <t>Unique weekly free-meal beneficiaries (est. regulars)</t>
  </si>
  <si>
    <t>Avoided annual medical cost per food-insecure person</t>
  </si>
  <si>
    <t>Benefit transfer (US→Spain)</t>
  </si>
  <si>
    <t>https://www.cdc.gov/pcd/issues/2019/18_0549.htm</t>
  </si>
  <si>
    <t>D. Avoided medical cost (weekly free meals only)</t>
  </si>
  <si>
    <t>3a. Avoided medical cost (free meals)</t>
  </si>
  <si>
    <t>Avoided healthcare: GP, ED, hospital (benefit transfer US→Spain)</t>
  </si>
  <si>
    <t>Chaparro &amp; Terradas (Barcelona urban forest): €1,116k / 10.98 km² ≈ €1,016/ha. Broader TEEB urban air quality estimates: €15,952/ha/yr. Baró et al. 2014, Ambio 43:466-479.</t>
  </si>
  <si>
    <t>Italian urban park study (Turin): 500 kgC/ha/yr sequestered. Monetised via social cost of carbon (B172). ACS Environ. Sci. Technol. 2021.</t>
  </si>
  <si>
    <t>Linked to 'Regionalized NatCap | VI'!H8. EU ETS ~€80-100/tCO2e ≈ €0.15/kgCO2.</t>
  </si>
  <si>
    <t>TEEB urban habitat services. BCN inner-city: 6.8 m²/cap green space (vs 14 m² EU avg). 800 species on 0.07 ha = exceptionally high biodiversity density. Baró et al. 2014.</t>
  </si>
  <si>
    <t>Distinct from social connectedness (2a). Captures biophilic stress response: reduced cortisol, blood pressure from green space exposure. Munich urban woodland recreation valued up to €15,440/ha (MDPI 2016). Conservative €8,000/ha for small community garden.</t>
  </si>
  <si>
    <t>Sum of (air + habitat + noise + pollination + microclimate + mental health) × 0.07 ha + carbon sequestration (kgC × CO₂/C ratio × €/kgCO₂ × area). Recreation WTP excluded (double-counts 2a, 4a).</t>
  </si>
  <si>
    <t>~300 operating days/year (excl. major holidays, closures). From conversations with Àgora.</t>
  </si>
  <si>
    <t>Engel et al. 2025, Value in Health. QALY utility decrement for loneliness = 0.061 (p&lt;0.001). 53,108 obs from HILDA (Australia), EQ-5D-5L. Direct loneliness measure, not an anxiety proxy.</t>
  </si>
  <si>
    <t>Engel et al. 2025, Value in Health. QALY decrement for social isolation = 0.020 (p&lt;0.001). Same HILDA study. Smaller but significant effect on health utility.</t>
  </si>
  <si>
    <t>eQALY template standard (=$B$4). Converted to EUR via $B$8 FX rate.</t>
  </si>
  <si>
    <t>20 regulars × 0.061 QALY × ($59,446 / FX) = €68,173</t>
  </si>
  <si>
    <t>40 semi-regulars × 0.020 QALY × ($59,446 / FX) = €44,703</t>
  </si>
  <si>
    <t>Vulnerable populations in El Raval (elderly, homeless, outdoor workers) face heat stress. Avoided ED visit probability × cost: ~0.5% × €300 = €1.50/person-day. Also captures dehydration risk, improved sleep.</t>
  </si>
  <si>
    <t>Existence value / WTP for heritage in marginalised communities. Spain CV studies: mean WTP €2-8/HH/yr for neighbourhood heritage. €5/HH conservative. Informed by Seville WTP study (J. Urban Planning &amp; Dev. 2021) and BCN garden studies (Oppla/EEA).</t>
  </si>
  <si>
    <t>€5/HH × 18,910 HH × 40% participation</t>
  </si>
  <si>
    <t>Ramadan 2026: ~17 Feb – 18 Mar (29-30 days). Using 30 as standard. Islamic Relief 2026 timetable.</t>
  </si>
  <si>
    <t>Avg cost of menú del día in El Raval / low-cost BCN restaurant: €8-12. Using €8 as floor for nutritionally adequate meal. Numbeo BCN 2024.</t>
  </si>
  <si>
    <t>GBD 2019 DW: moderate protein-energy malnutrition = 0.051 (95% UI: 0.031-0.079). GBD 2019 supplementary appendix.</t>
  </si>
  <si>
    <t>El Raval: high poverty, migrant vulnerability. ~60% of free-meal recipients estimated at risk of food insecurity.</t>
  </si>
  <si>
    <t>=B220 (3,000 Ramadan) + B221 (3,000 weekly). Total unique meals distributed free.</t>
  </si>
  <si>
    <t>6,000 free meals × €8 replacement cost = €48,000</t>
  </si>
  <si>
    <t>6,000 meals × 60% food-insecure × 0.051 DW × 1/365 = 0.50 DALYs averted</t>
  </si>
  <si>
    <t>0.50 DALYs × $59,446/DALY ÷ FX = €28,108</t>
  </si>
  <si>
    <t>~100 meals/week, mix of regulars (2-3/week) and occasional users. ~50 core + ~25 semi-regular = 75 unique individuals. From conversations with Àgora.</t>
  </si>
  <si>
    <t>CDC/MEPS (Berkowitz et al. 2019): food-insecure adults have $1,834/yr excess healthcare cost (US). Transferred to Spain at ~38% of US unit costs (OECD Health Statistics) = €700. Covers GP, ED, hospital avoidance for malnutrition-related conditions. Excludes mental health (in DALY line).</t>
  </si>
  <si>
    <t>75 beneficiaries × €700/yr avoided healthcare cost = €52,500</t>
  </si>
  <si>
    <t>From conversations with Àgora. Prep + cooking + serving + clean-up: ~4 hrs/session.</t>
  </si>
  <si>
    <t>52 weekly sessions + 30 Ramadan daily sessions = 82 sessions/year</t>
  </si>
  <si>
    <t>Spain min wage ~€7.40/hr. BCN kitchen/food service: €9-12/hr. Using €10 as representative. INE / Convenio colectivo hostelería.</t>
  </si>
  <si>
    <t>10 volunteers × 4 hrs × 82 sessions × €10/hr = €32,800</t>
  </si>
  <si>
    <t>From conversations with Àgora. Core community who attend daily/near-daily throughout Ramadan.</t>
  </si>
  <si>
    <t>Remaining capacity: (100-70) × 30 days ÷ avg 2 visits each = 450 unique rotating attendees</t>
  </si>
  <si>
    <t>GBD 2019 DW: mild MDD = 0.145 (95% UI: 0.099-0.209). Proxy for wellbeing uplift from communal iftar reducing depression/isolation among vulnerable migrants.</t>
  </si>
  <si>
    <t>30 days / 365 = 0.082. Ramadan 2026: Feb 17 – Mar 18.</t>
  </si>
  <si>
    <t>Two-cohort: (70 reg × 0.145 × 25/365) + (450 rotating × 0.145 × 2/365), all × DALY value ÷ FX = €58,826</t>
  </si>
  <si>
    <t>CV for cultural events in Spain. Proxy: comparable community literary event tickets in BCN (€8-15). WTP = €12/attendance (conservative). Reflects intercultural exchange value in El Raval.</t>
  </si>
  <si>
    <t>15 events × 200 attendees</t>
  </si>
  <si>
    <t>3,000 attendances × €12 WTP = €36,000</t>
  </si>
  <si>
    <t>Community space rental in Ciutat Vella: €100-300/session. €200 mid-point for half-day use.</t>
  </si>
  <si>
    <t>Assumption: ~4 sessions/org/year (quarterly). From conversations with Àgora.</t>
  </si>
  <si>
    <t>60 collectives × 4 sessions × €200 = €48,000</t>
  </si>
  <si>
    <t>Passport resolution takes ~6 months; benefit for remaining ~6 months (0.5 yr). Conservative.</t>
  </si>
  <si>
    <t>€10,000 budget ÷ ~€400/case = ~25 women supported per year</t>
  </si>
  <si>
    <t>Private criminal/family lawyer in Spain: €500-1,200/case. €800 mid-point for basic representation.</t>
  </si>
  <si>
    <t>GBD 2019 DW: moderate anxiety = 0.133 (95% UI: 0.091-0.186). Proxy for arrest trauma, criminal proceedings, family separation. Moderate (not severe) is conservative given compounding vulnerabilities.</t>
  </si>
  <si>
    <t>Family spillover: each woman supported has ~1.5 dependents also affected. Conservative multiplier.</t>
  </si>
  <si>
    <t>Legal support mitigates anxiety for ~6 months post-intervention (0.5 yr).</t>
  </si>
  <si>
    <t>Typical municipal fines in El Raval: €100-400. €200 average.</t>
  </si>
  <si>
    <t>Spanish municipal fines double after voluntary payment period (20 days). Ley General Tributaria: enforcement surcharges 10-20% + interest. Using 50%.</t>
  </si>
  <si>
    <t>Fine resolution removes stress for ~6 months (0.5 yr).</t>
  </si>
  <si>
    <t>Private sexual health consultation in BCN: €50-80/session. €60 conservative mid-point for professional SRH advice.</t>
  </si>
  <si>
    <t>GBD 2019 DW: moderate anxiety = 0.133 (95% UI: 0.091-0.186). Proxy for sexual violence risk, marginalisation, sexual health uncertainty.</t>
  </si>
  <si>
    <t>GBD 2019 HIV DW (untreated) = 0.274. P(advice prevents STI/HIV) ≈ 5-10%. DALY averted = 0.08 × 0.274 = 0.022. Conservative.</t>
  </si>
  <si>
    <t>Advice provides anxiety relief for ~6 months/year (0.5 yr).</t>
  </si>
  <si>
    <t>Spanish school year: Sep-Jun = 10 months.</t>
  </si>
  <si>
    <t>BCN public nursery: €50-395/mo (income-dependent). Private: €350-800/mo. €200 mid-range for low-income El Raval families. BCN Ideal Services 2025; Expatica; Balcells Group.</t>
  </si>
  <si>
    <t>Spain min wage 2025: €1,184/mo ÷ 160 hrs = €7.40/hr. El Raval low-income workers est. ~€8.50/hr (slightly above min). INE.</t>
  </si>
  <si>
    <t>Morning session ~08:00-12:00 (4 hours). From conversations with Àgora.</t>
  </si>
  <si>
    <t>70% of parents use childcare time for paid work. 30% for errands, healthcare, job searching.</t>
  </si>
  <si>
    <t>10 children × 70% × €8.50/hr × 4hrs × 22 days × 10 months = €52,360</t>
  </si>
  <si>
    <t>Comparable outdoor env. education in BCN: €10-20/child/session. €15 mid-point. Community garden visits, urban farm tours.</t>
  </si>
  <si>
    <t>Research shows early env. education strengthens pro-environmental attitudes into adulthood. Lifetime behavioural change (discounted): ~€50/child as conservative floor. TEEB education values.</t>
  </si>
  <si>
    <t>Source: Italian urban park study - 500 kg carbon/ha/yr for urban park (Turin). Monetised at social cost of carbon. ACS Environ. Sci. Technol. 2021.</t>
  </si>
  <si>
    <t>GBP 887/ha (Birmingham, MDPI 2022) ≈ €1,030/ha. El Raval bordered by La Rambla + Avinguda del Paral·lel (heavy traffic) and dense nightlife zone. Àgora's enclosed courtyard with 800+ plant species provides an acoustic refuge - a restorative soundscape break from chronic urban noise exposure (&gt;55dB, WHO threshold). €1,000/ha is conservative: Birmingham valued roadside woodland buffers; Àgora is smaller but more enclosed (higher shielding). Retiro Park (Madrid) WTP = €6.36/visitor for noise reduction.</t>
  </si>
  <si>
    <t>800 species on 0.07ha = ~11,400 species/ha equivalent - exceptionally high floral diversity supporting urban pollinators (wild bees, hoverflies, butterflies). Baldock et al. (2019, Nat. Ecol. Evol.) showed urban gardens are pollinator hotspots. El Raval has virtually no other green space (Sant Antoni: 0.87 m²/cap). Àgora functions as a 'stepping-stone' habitat in Barcelona's most green-deprived district. €2,000/ha conservative vs de Groot et al. (2012) median €2,913/ha for cultivated land pollination.</t>
  </si>
  <si>
    <t>Tier 1: Regular users (5+/week - high loneliness relief)</t>
  </si>
  <si>
    <t>From conversations with Àgora. Of 60 daily users, ~20 attend 5+/week - the core community who would otherwise experience significant loneliness.</t>
  </si>
  <si>
    <t>Tier 2: Semi-regular users (1-2×/week - social isolation relief)</t>
  </si>
  <si>
    <t>From conversations with Àgora. ~40 users come 1-2×/week - semi-regular contact that prevents full social isolation.</t>
  </si>
  <si>
    <t>=B187 (60 daily) × B196 (50% regular) × 2 (turnover rotation: each 'slot' serves ~2 unique people over a year). The ×2 is an assumption - could be labelled if more precision needed.</t>
  </si>
  <si>
    <t>eQALY methodology - standard DALY value used in Valuing Impact template.</t>
  </si>
  <si>
    <t>IMPACT 2b: Heat Relief / Wellbeing [FOLDED INTO ECOSYSTEM SERVICES - see row 180]</t>
  </si>
  <si>
    <t>40% of local HH. Àgora is a well-known landmark in El Raval - 800 plant species, Ramadan iftars, daily services. Dense walkable neighbourhood, high awareness. Staff confirm entire neighbourhood knows the space. WTP studies for well-known Spanish parks found 70-80% awareness; 40% is a lower bound.</t>
  </si>
  <si>
    <t>IMPACT 3d: Volunteer Labour - Avoided Employment Cost</t>
  </si>
  <si>
    <t>GBD 2019 DW: moderate anxiety = 0.133 (95% UI: 0.091-0.186). Proxy for distress of undocumented status - blocks employment, housing, banking, healthcare.</t>
  </si>
  <si>
    <t>GBD 2019 DW. Moderate anxiety DW = 0.133 (95% UI: 0.091-0.186). Proxy for distress of being undocumented - blocks employment, housing, banking, healthcare. https://ghdx.healthdata.org/record/ihme-data/gbd-2019-disability-weights</t>
  </si>
  <si>
    <t>GBD 2019 DW: mild anxiety = 0.030 (95% UI: 0.018-0.046). Proxy for persistent low-level stress of unpaid fines - escalation risk, immigration complications. Mild (not moderate) - fines are one contributor, not sole cause.</t>
  </si>
  <si>
    <t>Multiple sources - see rows 170-181</t>
  </si>
  <si>
    <t>Parents avoiding unemployment benefit (subsidio) per parent per month</t>
  </si>
  <si>
    <t>€/parent/month</t>
  </si>
  <si>
    <t>Market / statutory rate</t>
  </si>
  <si>
    <t>Proportion of working parents who would otherwise claim benefits</t>
  </si>
  <si>
    <t>Conservative: 30% of the 7 working parents (=B345×B334) would otherwise need state support. El Raval: high migrant pop., precarious employment, low-income households.</t>
  </si>
  <si>
    <t>Avoided social services referral cost per family per year</t>
  </si>
  <si>
    <t>€/family/year</t>
  </si>
  <si>
    <t>Spain servicios sociales: initial assessment + follow-up for families at risk costs municipality ~€500-1,200/case/yr (OECD 2022, Modernising Social Services in Spain). Using €800 mid-range. Childcare reduces referral risk by providing supervised safe environment.</t>
  </si>
  <si>
    <t>https://www.oecd.org/content/dam/oecd/en/publications/reports/2022/10/modernising-social-services-in-spain_109f71b9/4add887d-en.pdf</t>
  </si>
  <si>
    <t>C. Avoided state employment support + social services</t>
  </si>
  <si>
    <t>Welfare avoidance: 7 parents × 30% × €426/mo × 10mo = €8,946. Social services: 10 children × 20% at-risk × €800 = €1,600. Total €10,546.</t>
  </si>
  <si>
    <t>20 people × 15% encounter risk × €500/incident. Police stops, detention processing, administrative hearings for identity checks. €500/incident is conservative for police + admin time.</t>
  </si>
  <si>
    <t>25 cases × €800/case. Spain's turno de oficio (public defender) costs ~€300-500/case to the state; court processing + admin adds ~€300-500. Àgora's legal aid resolves cases before they escalate to public defender / full court proceedings.</t>
  </si>
  <si>
    <t>C. Avoided child welfare intervention (family separation)</t>
  </si>
  <si>
    <t>25 women × 1.5 family multiplier × 10% child separation risk × €3,000/case. When parent is arrested, children may enter emergency care (acogimiento). Spain: emergency foster placement costs state ~€3,000-8,000/child/episode (UNICEF Spain). Conservative.</t>
  </si>
  <si>
    <t>B. Avoided municipal enforcement cost (vía ejecutiva)</t>
  </si>
  <si>
    <t>20 fines × €150/fine. Unpaid fines enter vía ejecutiva (enforcement proceedings): admin costs for notification, embargo proceedings, database checks, court registration. Municipal cost ~€100-200/fine in staff time + systems. Using €150.</t>
  </si>
  <si>
    <t>6a. Avoided state employment support + social services</t>
  </si>
  <si>
    <t>Welfare avoidance (subsidio) + social services referral</t>
  </si>
  <si>
    <t>A. Avoided professional cost (immigration legal + consular fees)</t>
  </si>
  <si>
    <t>B. Wellbeing: DALY anxiety averted (identity documentation)</t>
  </si>
  <si>
    <t>20 people × €500 avoided legal/consular cost</t>
  </si>
  <si>
    <t>A. Avoided private legal cost</t>
  </si>
  <si>
    <t>25 women × €800/case avoided private lawyer cost</t>
  </si>
  <si>
    <t>B. Wellbeing: DALY anxiety averted (× family multiplier)</t>
  </si>
  <si>
    <t>A. Direct financial relief (fines paid)</t>
  </si>
  <si>
    <t>€4,000 fund disbursed directly to pay fines</t>
  </si>
  <si>
    <t>B. Avoided escalation penalty (surcharge avoidance)</t>
  </si>
  <si>
    <t>€4,000 × 50% surcharge avoided (vía ejecutiva escalation)</t>
  </si>
  <si>
    <t>C. Wellbeing: DALY mild anxiety averted (debt/fine stress)</t>
  </si>
  <si>
    <t>B. Avoided justice system cost (turno de oficio + court)</t>
  </si>
  <si>
    <t>A. Avoided cost of professional health advice</t>
  </si>
  <si>
    <t>Immigration legal + consular fees</t>
  </si>
  <si>
    <t>Moderate anxiety DW 0.133 × 0.5yr</t>
  </si>
  <si>
    <t>Emergency care + police interaction</t>
  </si>
  <si>
    <t>25 cases × €800/case</t>
  </si>
  <si>
    <t>Moderate anxiety DW 0.133 × 0.5yr × 1.5 family</t>
  </si>
  <si>
    <t>Turno de oficio + court + emergency foster care</t>
  </si>
  <si>
    <t>Fund disbursed to pay fines</t>
  </si>
  <si>
    <t>50% surcharge avoidance</t>
  </si>
  <si>
    <t>Mild anxiety DW 0.030 × 0.5yr</t>
  </si>
  <si>
    <t>Vía ejecutiva admin cost</t>
  </si>
  <si>
    <t>Spanish immigration enforcement practice</t>
  </si>
  <si>
    <t>Spanish turno de oficio + court processing costs</t>
  </si>
  <si>
    <t>UNICEF Spain child welfare costs</t>
  </si>
  <si>
    <t>Ley General Tributaria (fine escalation law)</t>
  </si>
  <si>
    <t>Municipal enforcement practice (estimated)</t>
  </si>
  <si>
    <t>Assumption (El Raval context)</t>
  </si>
  <si>
    <t>https://pubmed.ncbi.nlm.nih.gov/41176030/</t>
  </si>
  <si>
    <t>Conversations with Agora</t>
  </si>
  <si>
    <t>P(experiencing moderate anxiety) among beneficiaries</t>
  </si>
  <si>
    <t>Literature (adjusted)</t>
  </si>
  <si>
    <t>Zurich: 33.7% anxiety prevalence among SWs (Rössler et al. 2010). Systematic review: 13.6-51% (Martín-Romo 2023). 40% conservative for marginalised El Raval pop.</t>
  </si>
  <si>
    <t>https://doi.org/10.1111/acps.13559</t>
  </si>
  <si>
    <t>P(advice materially reduces anxiety)</t>
  </si>
  <si>
    <t>Assumption (conservative)</t>
  </si>
  <si>
    <t>Counselling response rates typically 30-50%. Using 25% as conservative estimate for brief advisory sessions (2 visits, not structured therapy).</t>
  </si>
  <si>
    <t>P(at risk of STI/HIV per year without intervention)</t>
  </si>
  <si>
    <t>HIV prevalence 0-2% among FSWs in W. Europe (ECDC). STI incidence higher. 8% annual risk of new STI/HIV without intervention (conservative composite).</t>
  </si>
  <si>
    <t>https://doi.org/10.1007/s10461-023-04204-6</t>
  </si>
  <si>
    <t>P(advice prevents an infection among at-risk)</t>
  </si>
  <si>
    <t>WHO: community empowerment interventions reduce HIV/STI risk (OR ~0.84). Condom promotion + SRH advice: ~30% risk reduction among engaged SWs.</t>
  </si>
  <si>
    <t>WHO 2012 STI guidelines for SWs</t>
  </si>
  <si>
    <t>B. Wellbeing: DALY anxiety averted (probability-adjusted)</t>
  </si>
  <si>
    <t>150 women × 40% anxious × 25% resolved × DW 0.133 × 0.5yr × DALY value. Tempered from €557k to reflect that not all women experience moderate anxiety and not all benefit from brief advice.</t>
  </si>
  <si>
    <t>C. DALYs averted: HIV/STI prevention (probability-adjusted)</t>
  </si>
  <si>
    <t>150 women × 8% at-risk × 30% prevented × HIV DW 0.02 × DALY value. Tempered from €168k to reflect that only a subset are at active STI/HIV risk and advice prevents a fraction of infections.</t>
  </si>
  <si>
    <t>Avoided cost (€18,000) + anxiety DALY (€55,740) + HIV DALY (€4,023). Now probability-adjusted and defensible.</t>
  </si>
  <si>
    <t>25 women × 90% P(mod anxiety from arrest) × 40% P(legal support alleviates) × DW 0.133 × 0.5yr × DALY × 1.5 family. P(anxiety): arrest is inherently traumatic. P(resolution): legal aid helps but trauma persists.</t>
  </si>
  <si>
    <t>20 people × 70% P(mild anxiety from fines) × 80% P(payment resolves) × DW 0.030 × 0.5yr × DALY. P(anxiety): fines cause stress but not always clinical anxiety. P(resolution): paying is a concrete fix.</t>
  </si>
  <si>
    <t>Probability-adjusted: P(anxiety)=40%, P(resolves)=25%, P(STI risk)=8%, P(prevents)=30%</t>
  </si>
  <si>
    <t>No additional probability adjustment needed: Engel QALY decrements are population-level averages (not max severity). Self-selected regular users of a community space in a marginalised migrant neighbourhood are, by definition, a loneliness-affected group. Applying population-average decrements to this self-selected group is conservative.</t>
  </si>
  <si>
    <t>P(experiencing moderate anxiety from undocumented status)</t>
  </si>
  <si>
    <t>Assumption (justified)</t>
  </si>
  <si>
    <t>Being undocumented blocks employment, housing, banking, healthcare. Very high anxiety prevalence in this group. 80% conservative.</t>
  </si>
  <si>
    <t>P(passport resolution alleviates anxiety)</t>
  </si>
  <si>
    <t>Getting a passport/ID is a concrete fix enabling employment, banking, healthcare access. Higher resolution rate than counselling-only interventions.</t>
  </si>
  <si>
    <t>P(police/immigration encounter per year)</t>
  </si>
  <si>
    <t>El Raval has high police presence. 15% annual probability of an identity-related police interaction for undocumented individuals. Conservative given Ley de Extranjería enforcement.</t>
  </si>
  <si>
    <t>Cost per police/immigration enforcement incident</t>
  </si>
  <si>
    <t>€/incident</t>
  </si>
  <si>
    <t>Police stop + detention processing + administrative hearing for identity check. €500/incident covers officer time + admin + transport. Conservative.</t>
  </si>
  <si>
    <t>P(experiencing moderate anxiety from arrest/proceedings)</t>
  </si>
  <si>
    <t>Arrest is inherently traumatic. Zurich study: 33.7% anxiety prevalence among SWs at baseline; arrest compounds this. 90% for arrest-specific anxiety.</t>
  </si>
  <si>
    <t>P(legal support materially alleviates anxiety)</t>
  </si>
  <si>
    <t>Legal aid helps resolve immediate crisis but trauma from arrest persists. 40% alleviation rate (lower than passport resolution because psychological trauma is harder to resolve than a concrete administrative problem).</t>
  </si>
  <si>
    <t>Turno de oficio + court processing cost per case (state cost)</t>
  </si>
  <si>
    <t>P(child separation if parent arrested without legal support)</t>
  </si>
  <si>
    <t>10% of arrested parents risk emergency child removal (acogimiento) without legal intervention. Higher for undocumented migrants where deportation risk also triggers child protection.</t>
  </si>
  <si>
    <t>Emergency foster placement cost per child per episode</t>
  </si>
  <si>
    <t>€/child/episode</t>
  </si>
  <si>
    <t>Municipal enforcement cost per unpaid fine (vía ejecutiva)</t>
  </si>
  <si>
    <t>P(experiencing mild anxiety from unpaid fines)</t>
  </si>
  <si>
    <t>Unpaid fines cause stress but not always clinical anxiety. For undocumented migrants, fines create compounding fear of enforcement/deportation. 70% is conservative for this vulnerable group.</t>
  </si>
  <si>
    <t>P(payment resolves anxiety)</t>
  </si>
  <si>
    <t>P(child at risk of social services referral without childcare)</t>
  </si>
  <si>
    <t>20% of children in morning care are from families at risk of social services referral (neglect, inadequate supervision) without the childcare safety net. El Raval: high poverty, single-parent migrant families.</t>
  </si>
  <si>
    <t>Spain turno de oficio: lawyer paid ~€150/procedure (ICAB/El Confidencial Digital 2026). Plus procurador + court admin ~€200-250. Total state cost per case ~€350-500. Using €400.</t>
  </si>
  <si>
    <t>https://www.elconfidencialdigital.com/judicial/articulo/rumor-de-togas/espana-paga-1000-euros-menos-que-europa-dato-que-hace-estallar-abogados-turno-oficio/20260505050000019541.html</t>
  </si>
  <si>
    <t>Spain subsidio por desempleo = 80% of IPREM = €480/month (2025). SEPE official rate. Represents avoided state welfare transfer when parent enters workforce.</t>
  </si>
  <si>
    <t>https://esanasesores.com/en/subsidios-por-desempleo/</t>
  </si>
  <si>
    <t>Immigration legal consultation in BCN: €200-800 (Balcells Group). Consular passport fees: €30-150 by country. Total avoided professional cost ~€500/person incl. time, travel, admin.</t>
  </si>
  <si>
    <t>https://balcellsgroup.com/</t>
  </si>
  <si>
    <t>Municipal enforcement of unpaid fines (vía ejecutiva): notification costs, database checks (SIR system), embargo proceedings, court registration. Avg admin cost per enforcement action €100-200 per Ley General Tributaria Art. 161-163. Using €150.</t>
  </si>
  <si>
    <t>Ley General Tributaria Art. 161-163</t>
  </si>
  <si>
    <t>Spain acogimiento de urgencia (emergency foster): €3,000-8,000/child/episode per Catalan DGAIA guidelines. Includes social worker assessment, placement, court notification, initial care. Conservative €3,000.</t>
  </si>
  <si>
    <t>Catalan DGAIA (child protection) guidelines</t>
  </si>
  <si>
    <t>Activity / Provision</t>
  </si>
  <si>
    <t>Benefit Description</t>
  </si>
  <si>
    <t>Àgora</t>
  </si>
  <si>
    <t>Existence value</t>
  </si>
  <si>
    <t>Malnutrition averted</t>
  </si>
  <si>
    <t>Cultural participation</t>
  </si>
  <si>
    <t>Debt relief</t>
  </si>
  <si>
    <t>STI/HIV prevention</t>
  </si>
  <si>
    <t>Avoided childcare cost</t>
  </si>
  <si>
    <t>Environmental education</t>
  </si>
  <si>
    <t>Community space</t>
  </si>
  <si>
    <t>households/year</t>
  </si>
  <si>
    <t>Avoided household expenditure</t>
  </si>
  <si>
    <t>DALY/meal</t>
  </si>
  <si>
    <t>Affordable meals</t>
  </si>
  <si>
    <t>Communal iftar</t>
  </si>
  <si>
    <t>Volunteer labour</t>
  </si>
  <si>
    <t>volunteer-hours/year</t>
  </si>
  <si>
    <t>Cultural events</t>
  </si>
  <si>
    <t>Passport support</t>
  </si>
  <si>
    <t>Avoided legal cost</t>
  </si>
  <si>
    <t>Anxiety reduction</t>
  </si>
  <si>
    <t>Legal aid</t>
  </si>
  <si>
    <t>Fines fund</t>
  </si>
  <si>
    <t>Health advice</t>
  </si>
  <si>
    <t>Avoided healthcare cost</t>
  </si>
  <si>
    <t>Childcare</t>
  </si>
  <si>
    <t>parents/year</t>
  </si>
  <si>
    <t>School visits</t>
  </si>
  <si>
    <t>visits/year</t>
  </si>
  <si>
    <t>EUR/ha</t>
  </si>
  <si>
    <t>EUR/household</t>
  </si>
  <si>
    <t>EUR/meal</t>
  </si>
  <si>
    <t>EUR/beneficiary</t>
  </si>
  <si>
    <t>EUR/hour</t>
  </si>
  <si>
    <t>EUR/attendance</t>
  </si>
  <si>
    <t>EUR/session</t>
  </si>
  <si>
    <t>EUR/child/month</t>
  </si>
  <si>
    <t>EUR/child</t>
  </si>
  <si>
    <t>EUR/visit</t>
  </si>
  <si>
    <t>hours/year</t>
  </si>
  <si>
    <t>Food Provision</t>
  </si>
  <si>
    <t>Community cohesion - Regulars</t>
  </si>
  <si>
    <t>Community cohesion - Visitors</t>
  </si>
  <si>
    <t>Loneliness reduction - Regulars</t>
  </si>
  <si>
    <t>Loneliness reduction - Semi Regulars</t>
  </si>
  <si>
    <t>Civic pride - Existence Value</t>
  </si>
  <si>
    <t>Urban green space</t>
  </si>
  <si>
    <t>Air purification</t>
  </si>
  <si>
    <t>Air quality regulation</t>
  </si>
  <si>
    <t>Carbon sequestration</t>
  </si>
  <si>
    <t>Biodiversity / habitat</t>
  </si>
  <si>
    <t>Habitat &amp; biodiversity</t>
  </si>
  <si>
    <t>Noise reduction</t>
  </si>
  <si>
    <t>Noise regulation</t>
  </si>
  <si>
    <t>Pollination</t>
  </si>
  <si>
    <t>Pollination services</t>
  </si>
  <si>
    <t>Heat relief / microclimate</t>
  </si>
  <si>
    <t>Microclimate regulation</t>
  </si>
  <si>
    <t>Mental health restoration</t>
  </si>
  <si>
    <t>Cultural / restorative services</t>
  </si>
  <si>
    <t>Avoided healthcare costs</t>
  </si>
  <si>
    <t>Affordable meal access</t>
  </si>
  <si>
    <t>Cultural event access</t>
  </si>
  <si>
    <t>Avoided emergency healthcare costs</t>
  </si>
  <si>
    <t>Avoided justice system costs</t>
  </si>
  <si>
    <t>Avoided enforcement costs</t>
  </si>
  <si>
    <t>Parental income enabled</t>
  </si>
  <si>
    <t>Avoided welfare costs</t>
  </si>
  <si>
    <t>Pro-environmental behaviour change</t>
  </si>
  <si>
    <t>Societal Value (HUI (HUT)</t>
  </si>
  <si>
    <t>Valuation factor (HUI/HUT/DALY)</t>
  </si>
  <si>
    <t>Societal valuation (EUR impact, HUI/HUT)</t>
  </si>
  <si>
    <t>Valuation factor (No eQALY)</t>
  </si>
  <si>
    <t>Local Community</t>
  </si>
  <si>
    <t>State/Local Government</t>
  </si>
  <si>
    <t>Societal valuation (No eQALY) impact)</t>
  </si>
  <si>
    <t>June-September calendar</t>
  </si>
  <si>
    <t>Note: Albania is purposefully used in the HUI calculation to reflect the similarity in income as the Raval neighborhood</t>
  </si>
  <si>
    <t>Sum of Societal valuation (No eQALY) impact)</t>
  </si>
  <si>
    <t>B. Avoided immigration enforcement / police interaction cost</t>
  </si>
  <si>
    <t>Avoided police enforcement costs</t>
  </si>
  <si>
    <t>Helping victims of abuce, often unaccompanied, criminalised young people who have been misdiagnosed and are addicted to pharmceutical drugs, after 18 they are left to the dogs. They keep in a vicious cycle.
They find a space where they are not judged, they are asked how they are doing, which nobody does, they find a safe space. It helps them to turn their life around. Many of them end up with stable lives after. 100 people every year (as a baseline estimate)</t>
  </si>
  <si>
    <t>IMPACT 7: VULNERABLE YOUNG PEOPLE PROGRAMME</t>
  </si>
  <si>
    <t>Programme reaches ~100 vulnerable young people per year: abuse victims, unaccompanied minors, criminalised youth, pharmaceutical drug addiction, aged out of care at 18.</t>
  </si>
  <si>
    <t>Sub-component / Parameter</t>
  </si>
  <si>
    <t>Type / Method</t>
  </si>
  <si>
    <t>Justification</t>
  </si>
  <si>
    <t>7a. MENTAL HEALTH / PTSD RECOVERY (DALY-based)</t>
  </si>
  <si>
    <t>Beneficiaries (vulnerable young people / year)</t>
  </si>
  <si>
    <t>persons</t>
  </si>
  <si>
    <t>Baseline estimate from Àgora programme data</t>
  </si>
  <si>
    <t>Programme reach: abuse victims, unaccompanied minors, criminalised youth, care leavers aged out at 18</t>
  </si>
  <si>
    <t>P(PTSD / severe trauma symptoms)</t>
  </si>
  <si>
    <t>probability</t>
  </si>
  <si>
    <t>Literature estimate</t>
  </si>
  <si>
    <t>60% prevalence of PTSD/complex trauma among care leavers and abuse survivors</t>
  </si>
  <si>
    <t>https://pmc.ncbi.nlm.nih.gov/articles/PMC11155215/</t>
  </si>
  <si>
    <t>Meta-analyses show 40-60% PTSD prevalence in care leavers; conservative mid-point for mixed cohort including abuse survivors and unaccompanied minors</t>
  </si>
  <si>
    <t>P(symptoms resolve / improve with programme support)</t>
  </si>
  <si>
    <t>Conservative estimate</t>
  </si>
  <si>
    <t>30% resolution rate: programme provides safe space, not clinical treatment</t>
  </si>
  <si>
    <t>https://pmc.ncbi.nlm.nih.gov/articles/PMC11545139/</t>
  </si>
  <si>
    <t>Non-clinical psychosocial support programmes show 25-40% symptom improvement; 30% is conservative for non-therapeutic safe-space model</t>
  </si>
  <si>
    <t>DW (0–1)</t>
  </si>
  <si>
    <t>Using moderate anxiety disorders DW as proxy for PTSD (consistent with existing sheet methodology)</t>
  </si>
  <si>
    <t>GBD 2019 maps PTSD to anxiety disorder DWs. Moderate anxiety DW = 0.133 used in Impact 5a/5b for consistency</t>
  </si>
  <si>
    <t>Duration of DALY benefit (years)</t>
  </si>
  <si>
    <t>Conservative</t>
  </si>
  <si>
    <t>1 year of wellbeing improvement per annual programme cycle</t>
  </si>
  <si>
    <t>Conservative: benefit counted for programme year only, though real recovery trajectory extends beyond</t>
  </si>
  <si>
    <t>DALY value (USD, from eQALY template)</t>
  </si>
  <si>
    <t>USD / DALY</t>
  </si>
  <si>
    <t>Links to global DALY monetary value in B4</t>
  </si>
  <si>
    <t>USD/EUR exchange rate</t>
  </si>
  <si>
    <t>Links to FX rate in B8</t>
  </si>
  <si>
    <t>A. Mental health DALY value (€)</t>
  </si>
  <si>
    <t>€ / year</t>
  </si>
  <si>
    <t>DALY valuation</t>
  </si>
  <si>
    <t>= 100 × 0.60 × 0.30 × 0.133 × 1.0 × $59,446 / 1.0638</t>
  </si>
  <si>
    <t>Wellbeing gain from PTSD/trauma symptom improvement in safe-space programme</t>
  </si>
  <si>
    <t>7b. SUBSTANCE ABUSE RECOVERY (DALY-based)</t>
  </si>
  <si>
    <t>Same cohort as 7a</t>
  </si>
  <si>
    <t>P(pharmaceutical drug dependence in cohort)</t>
  </si>
  <si>
    <t>Literature + programme data</t>
  </si>
  <si>
    <t>35% of cohort have pharmaceutical drug dependence (programme description highlights this as key issue)</t>
  </si>
  <si>
    <t>Programme description: 'addicted to pharmaceutical drugs'. 35% conservative for mixed cohort where substance issues are a primary presenting condition</t>
  </si>
  <si>
    <t>P(recovery / significant reduction with support)</t>
  </si>
  <si>
    <t>Non-clinical harm reduction / safe-space programmes show 15-25% meaningful improvement in substance use outcomes; 20% is mid-range</t>
  </si>
  <si>
    <t>Generic drug dependence (mild) DW. Conservative vs opioid moderate-severe (0.462-0.737)</t>
  </si>
  <si>
    <t>1 year benefit horizon, consistent with 7a</t>
  </si>
  <si>
    <t>DALY value (USD)</t>
  </si>
  <si>
    <t>B. Substance abuse recovery DALY value (€)</t>
  </si>
  <si>
    <t>= 100 × 0.35 × 0.20 × 0.116 × 1.0 × $59,446 / 1.0638</t>
  </si>
  <si>
    <t>Wellbeing gain from reduced pharmaceutical drug dependence severity</t>
  </si>
  <si>
    <t>7c. EMPLOYMENT &amp; ECONOMIC PARTICIPATION (Avoided cost + Earnings uplift)</t>
  </si>
  <si>
    <t>P(transition to stable employment via programme)</t>
  </si>
  <si>
    <t>25% achieve stable employment; programme description: 'many end up with stable lives'</t>
  </si>
  <si>
    <t>Care leaver employment rates typically 30-50% below peers. Programme lifts 25% into stable employment over baseline</t>
  </si>
  <si>
    <t>Annual earnings (entry-level, Barcelona low-income area)</t>
  </si>
  <si>
    <t>Spain SMI (Salario Mínimo Interprofesional) 2025: €16,576/yr</t>
  </si>
  <si>
    <t>https://www.ine.es/dyngs/INEbase/en/operacion.htm?c=Estadistica_C&amp;cid=1254736177025&amp;menu=ultiDatos&amp;idp=1254735976596</t>
  </si>
  <si>
    <t>SMI used as floor for entry-level employment in El Raval. Avg annual salary Spain €28,050 (INE 2023), but vulnerable youth enter at minimum wage</t>
  </si>
  <si>
    <t>Counterfactual earnings without programme (€ / yr)</t>
  </si>
  <si>
    <t>Without support: unemployment / informal economy only. Conservative zero counterfactual</t>
  </si>
  <si>
    <t>Care leavers without support face very high unemployment; zero counterfactual is conservative (some may earn informally)</t>
  </si>
  <si>
    <t>C. Employment earnings uplift (€)</t>
  </si>
  <si>
    <t>= 100 × 0.25 × (€16,576 – €0)</t>
  </si>
  <si>
    <t>Economic value of employment enabled by programme support and safe-space stabilisation</t>
  </si>
  <si>
    <t>7d. AVOIDED CRIMINAL JUSTICE COSTS</t>
  </si>
  <si>
    <t>P(would enter criminal justice system without programme)</t>
  </si>
  <si>
    <t>20% of cohort at risk of incarceration / criminal justice contact</t>
  </si>
  <si>
    <t>Care leavers and criminalised youth have significantly higher incarceration risk. 20% conservative for mixed cohort including those already criminalised</t>
  </si>
  <si>
    <t>Psychosocial support and safe-space programmes reduce recidivism/entry by 30-50%; 40% mid-range</t>
  </si>
  <si>
    <t>Annual cost of incarceration per person (Spain)</t>
  </si>
  <si>
    <t>€ / person / year</t>
  </si>
  <si>
    <t>€1,950/month × 12 = €23,400/year (ACAIP estimate)</t>
  </si>
  <si>
    <t>https://www.acaip.es/en/news/media/5166-lo-que-cuesta-cada-preso-en-espana-1950-euros-al-mes</t>
  </si>
  <si>
    <t>ACAIP estimate. EU median €106/day (~€38,690/yr). Spain below median at ~€65/day. €1,950/month is conservative official figure</t>
  </si>
  <si>
    <t>D. Avoided criminal justice costs (€)</t>
  </si>
  <si>
    <t>= 100 × 0.20 × 0.40 × €23,400</t>
  </si>
  <si>
    <t>State cost savings from diverting vulnerable youth from criminal justice system</t>
  </si>
  <si>
    <t>7e. AVOIDED HOMELESSNESS (Avoided cost + DALY wellbeing)</t>
  </si>
  <si>
    <t>P(would become homeless without programme)</t>
  </si>
  <si>
    <t>30% of care leavers experience homelessness within 2 years of aging out</t>
  </si>
  <si>
    <t>International studies show 25-40% homelessness among care leavers; 30% for Spain given limited after-care support structures</t>
  </si>
  <si>
    <t>P(programme prevents homelessness)</t>
  </si>
  <si>
    <t>35% of at-risk cohort stabilised through programme safe-space and support network</t>
  </si>
  <si>
    <t>Safe-space + social connection + employment support (7c) collectively stabilise housing for a portion of at-risk cohort</t>
  </si>
  <si>
    <t>Annual cost of homelessness services per person (Spain)</t>
  </si>
  <si>
    <t>Emergency shelter + healthcare + social services: €15,000/yr estimate for Barcelona</t>
  </si>
  <si>
    <t>EU estimates range €10,000-30,000/yr for homelessness-related public costs. €15,000 conservative for Barcelona (shelter + health + admin)</t>
  </si>
  <si>
    <t>E(i). Avoided homelessness cost (€)</t>
  </si>
  <si>
    <t>= 100 × 0.30 × 0.35 × €15,000</t>
  </si>
  <si>
    <t>Public cost savings from preventing homelessness among vulnerable youth</t>
  </si>
  <si>
    <t>P(homelessness-related loneliness + social isolation)</t>
  </si>
  <si>
    <t>80% of homeless youth experience severe loneliness and social isolation</t>
  </si>
  <si>
    <t>Homelessness almost universally associated with severe social isolation. 80% conservative for young population</t>
  </si>
  <si>
    <t>Loneliness DW, consistent with Impact 2a</t>
  </si>
  <si>
    <t>Duration (years)</t>
  </si>
  <si>
    <t>E(ii). Homelessness-averted wellbeing DALY value (€)</t>
  </si>
  <si>
    <t>Wellbeing gain: avoided loneliness from prevented homelessness</t>
  </si>
  <si>
    <t>DALY-based wellbeing component of homelessness prevention, layered on top of avoided fiscal cost</t>
  </si>
  <si>
    <t>E. Total avoided homelessness value (€)</t>
  </si>
  <si>
    <t>Combined</t>
  </si>
  <si>
    <t>= E(i) avoided cost + E(ii) DALY wellbeing</t>
  </si>
  <si>
    <t>Combined fiscal savings and wellbeing gain from homelessness prevention</t>
  </si>
  <si>
    <t>IMPACT 7 TOTAL (€)</t>
  </si>
  <si>
    <t>= A (PTSD) + B (Substance) + C (Employment) + D (Criminal justice) + E (Homelessness)</t>
  </si>
  <si>
    <t>DALY-based: moderate anxiety DW 0.133, P(PTSD)=60%, P(resolves)=30%</t>
  </si>
  <si>
    <t>DALY-based: mild drug dependence DW 0.116, P(dependence)=35%, P(recovery)=20%</t>
  </si>
  <si>
    <t>SMI €16,576/yr × P(employment)=25%</t>
  </si>
  <si>
    <t>€23,400/yr incarceration × P(CJ entry)=20% × P(diversion)=40%</t>
  </si>
  <si>
    <t>Avoided shelter costs + loneliness DALY, P(homeless)=30%, P(prevented)=35%</t>
  </si>
  <si>
    <t>PTSD / trauma symptom improvement</t>
  </si>
  <si>
    <t>Substance abuse recovery</t>
  </si>
  <si>
    <t>Employment earnings uplift</t>
  </si>
  <si>
    <t>Avoided criminal justice costs</t>
  </si>
  <si>
    <t>Avoided homelessness costs</t>
  </si>
  <si>
    <t>Avoided homelessness - loneliness reduction</t>
  </si>
  <si>
    <t>20 people × 80% P(mod anxiety) × 60% P(resolution alleviates) × DW 0.133 × 0.5yr × DALY. P(anxiety): being undocumented blocks employment, housing, healthcare - very high. P(resolution): getting a passport is a concrete fix.</t>
  </si>
  <si>
    <t>Paying the fine is a concrete resolution - removes the enforcement threat. Higher resolution rate than counselling. 80%.</t>
  </si>
  <si>
    <t>EXCLUDED from total. 150 women × moderate anxiety DW × 0.5yr produces €557k - disproportionately large vs other sections. Included here for transparency but not summed. Discuss with team whether to include at reduced attribution (e.g. 20% of beneficiaries experiencing clinical-level anxiety).</t>
  </si>
  <si>
    <t>EXCLUDED from total. HIV/STI prevention DALY is speculative - 8% prevention probability is a rough estimate. €168k is large relative to the €27k avoided cost. Include only if defensible epidemiological evidence supports the prevention probability.</t>
  </si>
  <si>
    <t>Disability Weight - moderate PTSD (GBD 2019)</t>
  </si>
  <si>
    <t>20% achieve meaningful recovery - programme is safe space, not clinical detox</t>
  </si>
  <si>
    <t>Disability Weight - other drug use dependence, mild (GBD 2019)</t>
  </si>
  <si>
    <t>Pharmaceutical drug dependence (sedatives, opioids) - mild DW used conservatively. GBD 2019 heroin/opioid moderate-severe = 0.462-0.737</t>
  </si>
  <si>
    <t>Input - SMI 2025</t>
  </si>
  <si>
    <t>40% diversion rate - safe space and support prevent escalation</t>
  </si>
  <si>
    <t>Disability Weight - loneliness (GBD 2019)</t>
  </si>
  <si>
    <t>5a. Passport - Avoided professional cost</t>
  </si>
  <si>
    <t>5a. Passport - Wellbeing (DALY anxiety)</t>
  </si>
  <si>
    <t>5a. Passport - Avoided state cost (enforcement)</t>
  </si>
  <si>
    <t>5b. Legal Aid - Avoided private legal cost</t>
  </si>
  <si>
    <t>5b. Legal Aid - Wellbeing (DALY anxiety × family)</t>
  </si>
  <si>
    <t>5b. Legal Aid - Avoided state cost (justice + child welfare)</t>
  </si>
  <si>
    <t>5c. Fines - Direct financial relief</t>
  </si>
  <si>
    <t>5c. Fines - Avoided escalation penalty</t>
  </si>
  <si>
    <t>5c. Fines - Wellbeing (DALY mild anxiety)</t>
  </si>
  <si>
    <t>5c. Fines - Avoided municipal enforcement</t>
  </si>
  <si>
    <t>5d. Punto Lila - Total (avoided cost + anxiety DALY + HIV DALY)</t>
  </si>
  <si>
    <t>7a. Vulnerable Youth - Mental Health / PTSD (DALY)</t>
  </si>
  <si>
    <t>7b. Vulnerable Youth - Substance Abuse Recovery (DALY)</t>
  </si>
  <si>
    <t>7c. Vulnerable Youth - Employment Earnings Uplift</t>
  </si>
  <si>
    <t>7d. Vulnerable Youth - Avoided Criminal Justice Costs</t>
  </si>
  <si>
    <t>7e. Vulnerable Youth - Avoided Homelessness</t>
  </si>
  <si>
    <t>P(Agora prevents criminal justice entry)</t>
  </si>
  <si>
    <t>Vulnerable youth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</si>
</sst>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64" formatCode="_ * #,##0.00_ ;_ * \-#,##0.00_ ;_ * &quot;-&quot;??_ ;_ @_ "/>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 #,##0.0_);_(* \(#,##0.0\);_(* &quot;-&quot;??_);_(@_)"/>
    <numFmt numFmtId="172" formatCode="0.000"/>
    <numFmt numFmtId="173" formatCode="_([$$-409]* #,##0_);_([$$-409]* \(#,##0\);_([$$-409]* &quot;-&quot;??_);_(@_)"/>
    <numFmt numFmtId="174" formatCode="_(* #,##0_);_(* \(#,##0\);_(* &quot;-&quot;?_);_(@_)"/>
    <numFmt numFmtId="175" formatCode="0.00000"/>
    <numFmt numFmtId="176" formatCode="_(* #,##0.000_);_(* \(#,##0.000\);_(* &quot;-&quot;??_);_(@_)"/>
    <numFmt numFmtId="177" formatCode="_(* #,##0.0000_);_(* \(#,##0.0000\);_(* &quot;-&quot;??_);_(@_)"/>
    <numFmt numFmtId="178" formatCode="0.0%"/>
    <numFmt numFmtId="179" formatCode="_(* #,##0.000_);_(* \(#,##0.000\);_(* &quot;-&quot;???_);_(@_)"/>
    <numFmt numFmtId="181" formatCode="_(* #,##0.000000_);_(* \(#,##0.000000\);_(* &quot;-&quot;??_);_(@_)"/>
    <numFmt numFmtId="182" formatCode="#,##0.0"/>
    <numFmt numFmtId="183" formatCode="0.000%"/>
    <numFmt numFmtId="184" formatCode="#,##0.0000"/>
    <numFmt numFmtId="185" formatCode="#,##0.000"/>
    <numFmt numFmtId="186" formatCode="\€#,##0"/>
    <numFmt numFmtId="187" formatCode="&quot;£&quot;#,##0"/>
    <numFmt numFmtId="188" formatCode="[$$-409]#,##0"/>
    <numFmt numFmtId="189" formatCode="_-[$€-2]\ * #,##0.00_-;\-[$€-2]\ * #,##0.00_-;_-[$€-2]\ * &quot;-&quot;??_-;_-@_-"/>
    <numFmt numFmtId="190" formatCode="0.0000"/>
  </numFmts>
  <fonts count="73">
    <font>
      <sz val="12"/>
      <color theme="1"/>
      <name val="Calibri"/>
      <family val="2"/>
      <scheme val="minor"/>
    </font>
    <font>
      <sz val="12"/>
      <color theme="1"/>
      <name val="Calibri"/>
      <family val="2"/>
      <scheme val="minor"/>
    </font>
    <font>
      <b/>
      <sz val="12"/>
      <color theme="1"/>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sz val="10"/>
      <name val="Arial"/>
      <family val="2"/>
    </font>
    <font>
      <u/>
      <sz val="10"/>
      <color theme="10"/>
      <name val="Arial"/>
      <family val="2"/>
    </font>
    <font>
      <b/>
      <sz val="11"/>
      <color theme="1"/>
      <name val="Calibri"/>
      <family val="2"/>
      <scheme val="minor"/>
    </font>
    <font>
      <sz val="11"/>
      <color rgb="FF000000"/>
      <name val="Calibri"/>
      <family val="2"/>
    </font>
    <font>
      <b/>
      <sz val="11"/>
      <color rgb="FF000000"/>
      <name val="Calibri"/>
      <family val="2"/>
    </font>
    <font>
      <sz val="11"/>
      <color theme="1"/>
      <name val="Calibri"/>
      <family val="2"/>
    </font>
    <font>
      <sz val="11"/>
      <color theme="1"/>
      <name val="Calibri"/>
      <family val="2"/>
      <scheme val="minor"/>
    </font>
    <font>
      <b/>
      <sz val="10"/>
      <color theme="1"/>
      <name val="Calibri"/>
      <family val="2"/>
      <scheme val="minor"/>
    </font>
    <font>
      <b/>
      <sz val="12"/>
      <name val="Calibri"/>
      <family val="2"/>
      <scheme val="minor"/>
    </font>
    <font>
      <b/>
      <sz val="11"/>
      <name val="Calibri"/>
      <family val="2"/>
      <scheme val="minor"/>
    </font>
    <font>
      <sz val="12"/>
      <name val="Calibri"/>
      <family val="2"/>
      <scheme val="minor"/>
    </font>
    <font>
      <sz val="10"/>
      <color rgb="FF000000"/>
      <name val="Arial"/>
      <family val="2"/>
    </font>
    <font>
      <u/>
      <sz val="12"/>
      <color theme="10"/>
      <name val="Calibri"/>
      <family val="2"/>
      <scheme val="minor"/>
    </font>
    <font>
      <b/>
      <sz val="12"/>
      <color rgb="FF000000"/>
      <name val="Calibri"/>
      <family val="2"/>
    </font>
    <font>
      <sz val="12"/>
      <color theme="1"/>
      <name val="Calibri"/>
      <family val="2"/>
    </font>
    <font>
      <sz val="12"/>
      <color rgb="FF9C5700"/>
      <name val="Calibri"/>
      <family val="2"/>
      <scheme val="minor"/>
    </font>
    <font>
      <b/>
      <sz val="14"/>
      <color theme="0"/>
      <name val="Calibri"/>
      <family val="2"/>
      <scheme val="minor"/>
    </font>
    <font>
      <sz val="14"/>
      <color theme="0"/>
      <name val="Calibri"/>
      <family val="2"/>
      <scheme val="minor"/>
    </font>
    <font>
      <b/>
      <sz val="10"/>
      <color theme="1" tint="0.249977111117893"/>
      <name val="Calibri"/>
      <family val="2"/>
      <scheme val="minor"/>
    </font>
    <font>
      <b/>
      <sz val="10"/>
      <name val="Calibri"/>
      <family val="2"/>
      <scheme val="minor"/>
    </font>
    <font>
      <sz val="10"/>
      <color theme="1"/>
      <name val="Calibri"/>
      <family val="2"/>
      <scheme val="minor"/>
    </font>
    <font>
      <b/>
      <sz val="12"/>
      <color rgb="FF000000"/>
      <name val="Calibri"/>
      <family val="2"/>
      <scheme val="minor"/>
    </font>
    <font>
      <sz val="10"/>
      <color rgb="FF000000"/>
      <name val="Calibri"/>
      <family val="2"/>
      <scheme val="minor"/>
    </font>
    <font>
      <sz val="10"/>
      <name val="Calibri"/>
      <family val="2"/>
      <scheme val="minor"/>
    </font>
    <font>
      <b/>
      <i/>
      <sz val="10"/>
      <name val="Calibri"/>
      <family val="2"/>
    </font>
    <font>
      <b/>
      <sz val="10"/>
      <name val="Calibri"/>
      <family val="2"/>
    </font>
    <font>
      <b/>
      <sz val="10"/>
      <color rgb="FF000000"/>
      <name val="Calibri"/>
      <family val="2"/>
    </font>
    <font>
      <sz val="10"/>
      <color rgb="FF000000"/>
      <name val="Calibri"/>
      <family val="2"/>
    </font>
    <font>
      <sz val="12"/>
      <color theme="10"/>
      <name val="Calibri"/>
      <family val="2"/>
      <scheme val="minor"/>
    </font>
    <font>
      <b/>
      <sz val="12"/>
      <color theme="0"/>
      <name val="Calibri"/>
      <family val="2"/>
    </font>
    <font>
      <sz val="12"/>
      <color rgb="FF000000"/>
      <name val="Calibri"/>
      <family val="2"/>
      <scheme val="minor"/>
    </font>
    <font>
      <sz val="11"/>
      <name val="Calibri (Body)"/>
    </font>
    <font>
      <b/>
      <sz val="11"/>
      <color rgb="FFFFFFFF"/>
      <name val="Calibri"/>
      <family val="2"/>
    </font>
    <font>
      <b/>
      <sz val="12"/>
      <color theme="1"/>
      <name val="Calibri"/>
      <family val="2"/>
    </font>
    <font>
      <b/>
      <sz val="11"/>
      <color theme="0"/>
      <name val="Calibri (Body)"/>
    </font>
    <font>
      <sz val="12"/>
      <color theme="0"/>
      <name val="Calibri (Body)"/>
    </font>
    <font>
      <sz val="12"/>
      <name val="Arial"/>
      <family val="2"/>
    </font>
    <font>
      <i/>
      <sz val="12"/>
      <color theme="1"/>
      <name val="Calibri"/>
      <family val="2"/>
      <scheme val="minor"/>
    </font>
    <font>
      <b/>
      <sz val="11"/>
      <color theme="0"/>
      <name val="Calibri"/>
      <family val="2"/>
      <scheme val="minor"/>
    </font>
    <font>
      <b/>
      <sz val="14"/>
      <color rgb="FFFFFFFF"/>
      <name val="Calibri"/>
      <family val="2"/>
      <scheme val="minor"/>
    </font>
    <font>
      <b/>
      <sz val="12"/>
      <color rgb="FFFFFFFF"/>
      <name val="Calibri"/>
      <family val="2"/>
      <scheme val="minor"/>
    </font>
    <font>
      <b/>
      <sz val="12"/>
      <color rgb="FFFFFFFF"/>
      <name val="Calibri"/>
      <scheme val="minor"/>
    </font>
    <font>
      <b/>
      <sz val="12"/>
      <color rgb="FF000000"/>
      <name val="Calibri"/>
      <scheme val="minor"/>
    </font>
    <font>
      <b/>
      <sz val="12"/>
      <color theme="1"/>
      <name val="Calibri"/>
      <scheme val="minor"/>
    </font>
    <font>
      <sz val="11"/>
      <color theme="1"/>
      <name val="Calibri"/>
      <scheme val="minor"/>
    </font>
    <font>
      <b/>
      <sz val="11"/>
      <color theme="1"/>
      <name val="Calibri"/>
      <scheme val="minor"/>
    </font>
    <font>
      <sz val="11"/>
      <color rgb="FF0000FF"/>
      <name val="Calibri"/>
      <scheme val="minor"/>
    </font>
    <font>
      <b/>
      <sz val="11"/>
      <color rgb="FFFFFFFF"/>
      <name val="Calibri"/>
      <scheme val="minor"/>
    </font>
    <font>
      <sz val="10"/>
      <color theme="1"/>
      <name val="Calibri"/>
      <scheme val="minor"/>
    </font>
    <font>
      <b/>
      <sz val="10"/>
      <color theme="1"/>
      <name val="Calibri"/>
      <scheme val="minor"/>
    </font>
    <font>
      <b/>
      <i/>
      <sz val="10"/>
      <color theme="1"/>
      <name val="Calibri"/>
      <scheme val="minor"/>
    </font>
    <font>
      <sz val="10"/>
      <color rgb="FF0000FF"/>
      <name val="Calibri"/>
      <scheme val="minor"/>
    </font>
    <font>
      <sz val="9"/>
      <color indexed="81"/>
      <name val="Tahoma"/>
      <charset val="1"/>
    </font>
    <font>
      <b/>
      <sz val="9"/>
      <color indexed="81"/>
      <name val="Tahoma"/>
      <charset val="1"/>
    </font>
    <font>
      <sz val="10"/>
      <color rgb="FF808080"/>
      <name val="Calibri"/>
      <scheme val="minor"/>
    </font>
    <font>
      <b/>
      <sz val="10"/>
      <color rgb="FF808080"/>
      <name val="Calibri"/>
      <scheme val="minor"/>
    </font>
    <font>
      <b/>
      <sz val="11"/>
      <color rgb="FF000000"/>
      <name val="Calibri"/>
    </font>
    <font>
      <sz val="10"/>
      <color rgb="FF404040"/>
      <name val="Calibri"/>
      <scheme val="minor"/>
    </font>
    <font>
      <sz val="10"/>
      <color rgb="FF008000"/>
      <name val="Calibri"/>
      <scheme val="minor"/>
    </font>
    <font>
      <sz val="9"/>
      <color rgb="FF808080"/>
      <name val="Calibri"/>
      <scheme val="minor"/>
    </font>
    <font>
      <sz val="10"/>
      <color rgb="FF000000"/>
      <name val="Calibri"/>
      <scheme val="minor"/>
    </font>
    <font>
      <b/>
      <sz val="10"/>
      <color rgb="FF0000FF"/>
      <name val="Calibri"/>
      <scheme val="minor"/>
    </font>
    <font>
      <b/>
      <sz val="12"/>
      <color rgb="FF000000"/>
      <name val="Calibri"/>
    </font>
    <font>
      <b/>
      <sz val="12"/>
      <color rgb="FFFFFFFF"/>
      <name val="Calibri"/>
    </font>
    <font>
      <i/>
      <sz val="9"/>
      <color theme="1"/>
      <name val="Calibri"/>
      <family val="2"/>
      <scheme val="minor"/>
    </font>
    <font>
      <i/>
      <sz val="9"/>
      <color rgb="FF666666"/>
      <name val="Calibri"/>
      <family val="2"/>
      <scheme val="minor"/>
    </font>
    <font>
      <sz val="12"/>
      <color rgb="FF0000FF"/>
      <name val="Calibri"/>
      <family val="2"/>
      <scheme val="minor"/>
    </font>
  </fonts>
  <fills count="56">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bgColor rgb="FF000000"/>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7" tint="0.59999389629810485"/>
        <bgColor rgb="FF000000"/>
      </patternFill>
    </fill>
    <fill>
      <patternFill patternType="solid">
        <fgColor theme="3" tint="0.89999084444715716"/>
        <bgColor indexed="64"/>
      </patternFill>
    </fill>
    <fill>
      <patternFill patternType="solid">
        <fgColor theme="3" tint="0.79998168889431442"/>
        <bgColor indexed="64"/>
      </patternFill>
    </fill>
    <fill>
      <patternFill patternType="solid">
        <fgColor rgb="FFFFC000"/>
        <bgColor indexed="64"/>
      </patternFill>
    </fill>
    <fill>
      <patternFill patternType="solid">
        <fgColor rgb="FFFFC000"/>
        <bgColor rgb="FF000000"/>
      </patternFill>
    </fill>
    <fill>
      <patternFill patternType="solid">
        <fgColor theme="0" tint="-4.9989318521683403E-2"/>
        <bgColor rgb="FF000000"/>
      </patternFill>
    </fill>
    <fill>
      <patternFill patternType="solid">
        <fgColor rgb="FFE7E6E6"/>
        <bgColor rgb="FF000000"/>
      </patternFill>
    </fill>
    <fill>
      <patternFill patternType="solid">
        <fgColor rgb="FFFFF2CC"/>
        <bgColor rgb="FF000000"/>
      </patternFill>
    </fill>
    <fill>
      <patternFill patternType="solid">
        <fgColor rgb="FFFCE4D6"/>
        <bgColor rgb="FF000000"/>
      </patternFill>
    </fill>
    <fill>
      <patternFill patternType="solid">
        <fgColor rgb="FFFFEB9C"/>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E6EBF2"/>
        <bgColor rgb="FF000000"/>
      </patternFill>
    </fill>
    <fill>
      <patternFill patternType="solid">
        <fgColor theme="6" tint="0.79998168889431442"/>
        <bgColor indexed="64"/>
      </patternFill>
    </fill>
    <fill>
      <patternFill patternType="solid">
        <fgColor theme="0" tint="-0.249977111117893"/>
        <bgColor rgb="FF000000"/>
      </patternFill>
    </fill>
    <fill>
      <patternFill patternType="solid">
        <fgColor theme="4"/>
        <bgColor rgb="FF000000"/>
      </patternFill>
    </fill>
    <fill>
      <patternFill patternType="solid">
        <fgColor theme="4" tint="0.79998168889431442"/>
        <bgColor rgb="FF000000"/>
      </patternFill>
    </fill>
    <fill>
      <patternFill patternType="solid">
        <fgColor theme="5"/>
        <bgColor rgb="FF000000"/>
      </patternFill>
    </fill>
    <fill>
      <patternFill patternType="solid">
        <fgColor theme="6"/>
        <bgColor rgb="FF000000"/>
      </patternFill>
    </fill>
    <fill>
      <patternFill patternType="solid">
        <fgColor theme="8"/>
        <bgColor rgb="FF000000"/>
      </patternFill>
    </fill>
    <fill>
      <patternFill patternType="solid">
        <fgColor theme="9"/>
        <bgColor rgb="FF000000"/>
      </patternFill>
    </fill>
    <fill>
      <patternFill patternType="solid">
        <fgColor theme="5" tint="0.79998168889431442"/>
        <bgColor rgb="FF000000"/>
      </patternFill>
    </fill>
    <fill>
      <patternFill patternType="solid">
        <fgColor theme="6" tint="0.79998168889431442"/>
        <bgColor rgb="FF000000"/>
      </patternFill>
    </fill>
    <fill>
      <patternFill patternType="solid">
        <fgColor theme="7" tint="0.79998168889431442"/>
        <bgColor rgb="FF000000"/>
      </patternFill>
    </fill>
    <fill>
      <patternFill patternType="solid">
        <fgColor theme="8" tint="0.79998168889431442"/>
        <bgColor rgb="FF000000"/>
      </patternFill>
    </fill>
    <fill>
      <patternFill patternType="solid">
        <fgColor theme="9" tint="0.79998168889431442"/>
        <bgColor rgb="FF000000"/>
      </patternFill>
    </fill>
    <fill>
      <patternFill patternType="solid">
        <fgColor rgb="FFF2F2F2"/>
        <bgColor rgb="FF000000"/>
      </patternFill>
    </fill>
    <fill>
      <patternFill patternType="solid">
        <fgColor theme="8"/>
        <bgColor indexed="64"/>
      </patternFill>
    </fill>
    <fill>
      <patternFill patternType="solid">
        <fgColor theme="3"/>
        <bgColor indexed="64"/>
      </patternFill>
    </fill>
    <fill>
      <patternFill patternType="solid">
        <fgColor theme="1"/>
        <bgColor indexed="64"/>
      </patternFill>
    </fill>
    <fill>
      <patternFill patternType="solid">
        <fgColor theme="8" tint="0.79998168889431442"/>
        <bgColor indexed="64"/>
      </patternFill>
    </fill>
    <fill>
      <patternFill patternType="solid">
        <fgColor theme="9"/>
        <bgColor indexed="64"/>
      </patternFill>
    </fill>
    <fill>
      <patternFill patternType="solid">
        <fgColor theme="9" tint="0.79998168889431442"/>
        <bgColor indexed="64"/>
      </patternFill>
    </fill>
    <fill>
      <patternFill patternType="solid">
        <fgColor rgb="FF727C7D"/>
        <bgColor indexed="64"/>
      </patternFill>
    </fill>
    <fill>
      <patternFill patternType="solid">
        <fgColor rgb="FFFFFFFF"/>
        <bgColor indexed="64"/>
      </patternFill>
    </fill>
    <fill>
      <patternFill patternType="solid">
        <fgColor rgb="FFD9D9D9"/>
        <bgColor indexed="64"/>
      </patternFill>
    </fill>
    <fill>
      <patternFill patternType="solid">
        <fgColor rgb="FFCCDBEA"/>
        <bgColor indexed="64"/>
      </patternFill>
    </fill>
    <fill>
      <patternFill patternType="solid">
        <fgColor rgb="FFCCDCEA"/>
        <bgColor indexed="64"/>
      </patternFill>
    </fill>
    <fill>
      <patternFill patternType="solid">
        <fgColor rgb="FFF2F2F2"/>
        <bgColor indexed="64"/>
      </patternFill>
    </fill>
    <fill>
      <patternFill patternType="solid">
        <fgColor rgb="FF5B7553"/>
        <bgColor indexed="64"/>
      </patternFill>
    </fill>
    <fill>
      <patternFill patternType="solid">
        <fgColor rgb="FFE8F0E4"/>
        <bgColor indexed="64"/>
      </patternFill>
    </fill>
    <fill>
      <patternFill patternType="solid">
        <fgColor rgb="FFA0A0A0"/>
        <bgColor indexed="64"/>
      </patternFill>
    </fill>
    <fill>
      <patternFill patternType="solid">
        <fgColor rgb="FF2C4B68"/>
        <bgColor indexed="64"/>
      </patternFill>
    </fill>
    <fill>
      <patternFill patternType="solid">
        <fgColor rgb="FFF5C85C"/>
        <bgColor indexed="64"/>
      </patternFill>
    </fill>
    <fill>
      <patternFill patternType="solid">
        <fgColor rgb="FFDF0FBC"/>
        <bgColor indexed="64"/>
      </patternFill>
    </fill>
    <fill>
      <patternFill patternType="solid">
        <fgColor rgb="FFD9E1F2"/>
        <bgColor indexed="64"/>
      </patternFill>
    </fill>
    <fill>
      <patternFill patternType="solid">
        <fgColor rgb="FFE2EFDA"/>
        <bgColor indexed="64"/>
      </patternFill>
    </fill>
  </fills>
  <borders count="54">
    <border>
      <left/>
      <right/>
      <top/>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style="hair">
        <color indexed="64"/>
      </left>
      <right style="hair">
        <color indexed="64"/>
      </right>
      <top/>
      <bottom style="hair">
        <color indexed="64"/>
      </bottom>
      <diagonal/>
    </border>
    <border>
      <left/>
      <right/>
      <top/>
      <bottom style="medium">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hair">
        <color indexed="64"/>
      </bottom>
      <diagonal/>
    </border>
    <border>
      <left/>
      <right/>
      <top style="thin">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hair">
        <color indexed="64"/>
      </left>
      <right style="hair">
        <color indexed="64"/>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thin">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rgb="FFD9D9D9"/>
      </left>
      <right style="thin">
        <color rgb="FFD9D9D9"/>
      </right>
      <top/>
      <bottom style="thin">
        <color rgb="FFD9D9D9"/>
      </bottom>
      <diagonal/>
    </border>
    <border>
      <left style="thin">
        <color rgb="FFD9D9D9"/>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style="thin">
        <color rgb="FFD9D9D9"/>
      </right>
      <top style="medium">
        <color rgb="FF727C7D"/>
      </top>
      <bottom style="medium">
        <color rgb="FF727C7D"/>
      </bottom>
      <diagonal/>
    </border>
  </borders>
  <cellStyleXfs count="23">
    <xf numFmtId="0" fontId="0" fillId="0" borderId="0"/>
    <xf numFmtId="168"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168" fontId="6" fillId="0" borderId="0" applyFont="0" applyFill="0" applyBorder="0" applyAlignment="0" applyProtection="0"/>
    <xf numFmtId="0" fontId="7" fillId="0" borderId="0" applyNumberFormat="0" applyFill="0" applyBorder="0" applyAlignment="0" applyProtection="0"/>
    <xf numFmtId="0" fontId="12" fillId="0" borderId="0"/>
    <xf numFmtId="0" fontId="12" fillId="0" borderId="0"/>
    <xf numFmtId="0" fontId="1" fillId="0" borderId="0"/>
    <xf numFmtId="164" fontId="1" fillId="0" borderId="0" applyFont="0" applyFill="0" applyBorder="0" applyAlignment="0" applyProtection="0"/>
    <xf numFmtId="0" fontId="18" fillId="0" borderId="0" applyNumberFormat="0" applyFill="0" applyBorder="0" applyAlignment="0" applyProtection="0"/>
    <xf numFmtId="0" fontId="21" fillId="17" borderId="0" applyNumberFormat="0" applyBorder="0" applyAlignment="0" applyProtection="0"/>
    <xf numFmtId="168" fontId="12" fillId="0" borderId="0" applyFont="0" applyFill="0" applyBorder="0" applyAlignment="0" applyProtection="0"/>
    <xf numFmtId="9" fontId="12" fillId="0" borderId="0" applyFont="0" applyFill="0" applyBorder="0" applyAlignment="0" applyProtection="0">
      <alignment vertical="center"/>
    </xf>
    <xf numFmtId="167" fontId="12" fillId="0" borderId="0" applyFont="0" applyFill="0" applyBorder="0" applyAlignment="0" applyProtection="0"/>
    <xf numFmtId="168" fontId="12" fillId="0" borderId="0" applyFont="0" applyFill="0" applyBorder="0" applyAlignment="0" applyProtection="0"/>
    <xf numFmtId="0" fontId="6" fillId="0" borderId="0"/>
    <xf numFmtId="9" fontId="12" fillId="0" borderId="0" applyFont="0" applyFill="0" applyBorder="0" applyAlignment="0" applyProtection="0"/>
    <xf numFmtId="0" fontId="12" fillId="0" borderId="0"/>
    <xf numFmtId="0" fontId="12" fillId="0" borderId="0"/>
    <xf numFmtId="0" fontId="12" fillId="0" borderId="0"/>
  </cellStyleXfs>
  <cellXfs count="444">
    <xf numFmtId="0" fontId="0" fillId="0" borderId="0" xfId="0"/>
    <xf numFmtId="0" fontId="5" fillId="0" borderId="0" xfId="0" applyFont="1"/>
    <xf numFmtId="0" fontId="4" fillId="0" borderId="1" xfId="0" applyFont="1" applyBorder="1"/>
    <xf numFmtId="0" fontId="5" fillId="0" borderId="1" xfId="0" applyFont="1" applyBorder="1"/>
    <xf numFmtId="9" fontId="0" fillId="0" borderId="1" xfId="2" applyFont="1" applyBorder="1"/>
    <xf numFmtId="0" fontId="0" fillId="0" borderId="1" xfId="0" applyBorder="1"/>
    <xf numFmtId="0" fontId="10" fillId="0" borderId="0" xfId="0" applyFont="1"/>
    <xf numFmtId="0" fontId="2" fillId="3" borderId="0" xfId="0" applyFont="1" applyFill="1"/>
    <xf numFmtId="0" fontId="11" fillId="0" borderId="1" xfId="0" applyFont="1" applyBorder="1"/>
    <xf numFmtId="0" fontId="10" fillId="6" borderId="0" xfId="0" applyFont="1" applyFill="1"/>
    <xf numFmtId="0" fontId="0" fillId="6" borderId="0" xfId="0" applyFill="1"/>
    <xf numFmtId="0" fontId="12" fillId="0" borderId="0" xfId="0" applyFont="1"/>
    <xf numFmtId="0" fontId="12" fillId="0" borderId="0" xfId="0" applyFont="1" applyAlignment="1">
      <alignment vertical="center"/>
    </xf>
    <xf numFmtId="0" fontId="2" fillId="0" borderId="0" xfId="0" applyFont="1"/>
    <xf numFmtId="0" fontId="12" fillId="0" borderId="0" xfId="0" applyFont="1" applyAlignment="1">
      <alignment horizontal="center" vertical="center"/>
    </xf>
    <xf numFmtId="0" fontId="11" fillId="0" borderId="3" xfId="0" applyFont="1" applyBorder="1"/>
    <xf numFmtId="0" fontId="16" fillId="0" borderId="0" xfId="0" applyFont="1"/>
    <xf numFmtId="172" fontId="5" fillId="0" borderId="1" xfId="0" applyNumberFormat="1" applyFont="1" applyBorder="1"/>
    <xf numFmtId="0" fontId="17" fillId="0" borderId="1" xfId="0" applyFont="1" applyBorder="1"/>
    <xf numFmtId="0" fontId="4" fillId="0" borderId="3" xfId="0" applyFont="1" applyBorder="1"/>
    <xf numFmtId="172" fontId="5" fillId="0" borderId="3" xfId="0" applyNumberFormat="1" applyFont="1" applyBorder="1"/>
    <xf numFmtId="169" fontId="0" fillId="0" borderId="3" xfId="1" applyNumberFormat="1" applyFont="1" applyBorder="1"/>
    <xf numFmtId="0" fontId="3" fillId="5" borderId="7" xfId="0" applyFont="1" applyFill="1" applyBorder="1" applyAlignment="1">
      <alignment horizontal="center" vertical="center" wrapText="1"/>
    </xf>
    <xf numFmtId="172" fontId="3" fillId="5" borderId="7" xfId="0" applyNumberFormat="1"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0" borderId="4" xfId="0" applyFont="1" applyBorder="1" applyAlignment="1">
      <alignment horizontal="center" vertical="center"/>
    </xf>
    <xf numFmtId="11" fontId="0" fillId="0" borderId="3" xfId="0" applyNumberFormat="1" applyBorder="1"/>
    <xf numFmtId="11" fontId="0" fillId="0" borderId="1" xfId="0" applyNumberFormat="1" applyBorder="1"/>
    <xf numFmtId="2" fontId="0" fillId="7" borderId="3" xfId="0" applyNumberFormat="1" applyFill="1" applyBorder="1"/>
    <xf numFmtId="0" fontId="16" fillId="0" borderId="1" xfId="0" applyFont="1" applyBorder="1"/>
    <xf numFmtId="11" fontId="0" fillId="0" borderId="1" xfId="11" applyNumberFormat="1" applyFont="1" applyFill="1" applyBorder="1" applyAlignment="1">
      <alignment horizontal="center"/>
    </xf>
    <xf numFmtId="11" fontId="16" fillId="0" borderId="1" xfId="11" applyNumberFormat="1" applyFont="1" applyFill="1" applyBorder="1" applyAlignment="1">
      <alignment horizontal="center"/>
    </xf>
    <xf numFmtId="0" fontId="0" fillId="0" borderId="3" xfId="0" applyBorder="1"/>
    <xf numFmtId="11" fontId="0" fillId="0" borderId="3" xfId="11" applyNumberFormat="1" applyFont="1" applyFill="1" applyBorder="1" applyAlignment="1">
      <alignment horizontal="center"/>
    </xf>
    <xf numFmtId="0" fontId="15" fillId="5" borderId="9" xfId="0" applyFont="1" applyFill="1" applyBorder="1" applyAlignment="1">
      <alignment horizontal="center" vertical="center"/>
    </xf>
    <xf numFmtId="0" fontId="15" fillId="5" borderId="9" xfId="0" applyFont="1" applyFill="1" applyBorder="1" applyAlignment="1">
      <alignment horizontal="center" vertical="center" wrapText="1"/>
    </xf>
    <xf numFmtId="0" fontId="0" fillId="0" borderId="9" xfId="0" applyBorder="1"/>
    <xf numFmtId="2" fontId="2" fillId="7" borderId="3" xfId="0" applyNumberFormat="1" applyFont="1" applyFill="1" applyBorder="1" applyAlignment="1">
      <alignment horizontal="center"/>
    </xf>
    <xf numFmtId="0" fontId="10" fillId="8" borderId="12" xfId="3" applyFont="1" applyFill="1" applyBorder="1" applyAlignment="1">
      <alignment horizontal="center" vertical="center" wrapText="1"/>
    </xf>
    <xf numFmtId="0" fontId="9" fillId="0" borderId="3" xfId="3" applyFont="1" applyBorder="1"/>
    <xf numFmtId="9" fontId="9" fillId="0" borderId="3" xfId="2" applyFont="1" applyFill="1" applyBorder="1"/>
    <xf numFmtId="169" fontId="5" fillId="0" borderId="3" xfId="1" applyNumberFormat="1" applyFont="1" applyFill="1" applyBorder="1"/>
    <xf numFmtId="0" fontId="9" fillId="0" borderId="1" xfId="3" applyFont="1" applyBorder="1"/>
    <xf numFmtId="9" fontId="9" fillId="0" borderId="1" xfId="2" applyFont="1" applyFill="1" applyBorder="1"/>
    <xf numFmtId="171" fontId="11" fillId="7" borderId="3" xfId="1" applyNumberFormat="1" applyFont="1" applyFill="1" applyBorder="1"/>
    <xf numFmtId="168" fontId="11" fillId="7" borderId="3" xfId="0" applyNumberFormat="1" applyFont="1" applyFill="1" applyBorder="1"/>
    <xf numFmtId="0" fontId="10" fillId="13" borderId="12" xfId="3" applyFont="1" applyFill="1" applyBorder="1" applyAlignment="1">
      <alignment horizontal="left" vertical="center"/>
    </xf>
    <xf numFmtId="0" fontId="10" fillId="13" borderId="12" xfId="3" applyFont="1" applyFill="1" applyBorder="1" applyAlignment="1">
      <alignment horizontal="center" vertical="center"/>
    </xf>
    <xf numFmtId="0" fontId="15" fillId="13" borderId="12" xfId="3" applyFont="1" applyFill="1" applyBorder="1" applyAlignment="1">
      <alignment horizontal="center" vertical="center" wrapText="1"/>
    </xf>
    <xf numFmtId="0" fontId="10" fillId="13" borderId="12" xfId="3" applyFont="1" applyFill="1" applyBorder="1" applyAlignment="1">
      <alignment horizontal="center" vertical="center" wrapText="1"/>
    </xf>
    <xf numFmtId="0" fontId="10" fillId="4" borderId="12" xfId="3" applyFont="1" applyFill="1" applyBorder="1" applyAlignment="1">
      <alignment horizontal="center" vertical="center" wrapText="1"/>
    </xf>
    <xf numFmtId="0" fontId="9" fillId="0" borderId="1" xfId="0" applyFont="1" applyBorder="1"/>
    <xf numFmtId="0" fontId="12" fillId="0" borderId="0" xfId="8"/>
    <xf numFmtId="0" fontId="10" fillId="14" borderId="12" xfId="0" applyFont="1" applyFill="1" applyBorder="1" applyAlignment="1">
      <alignment horizontal="center" vertical="center" wrapText="1"/>
    </xf>
    <xf numFmtId="0" fontId="10" fillId="14" borderId="9" xfId="0" applyFont="1" applyFill="1" applyBorder="1" applyAlignment="1">
      <alignment horizontal="center" vertical="center" wrapText="1"/>
    </xf>
    <xf numFmtId="49" fontId="10" fillId="16" borderId="7" xfId="0" applyNumberFormat="1" applyFont="1" applyFill="1" applyBorder="1" applyAlignment="1">
      <alignment horizontal="center" vertical="center" wrapText="1"/>
    </xf>
    <xf numFmtId="0" fontId="9" fillId="0" borderId="3" xfId="0" applyFont="1" applyBorder="1"/>
    <xf numFmtId="173" fontId="9" fillId="15" borderId="1" xfId="0" applyNumberFormat="1" applyFont="1" applyFill="1" applyBorder="1"/>
    <xf numFmtId="0" fontId="8" fillId="11" borderId="24" xfId="0" applyFont="1" applyFill="1" applyBorder="1" applyAlignment="1">
      <alignment horizontal="center" vertical="center" wrapText="1"/>
    </xf>
    <xf numFmtId="0" fontId="8" fillId="11" borderId="25" xfId="0" applyFont="1" applyFill="1" applyBorder="1" applyAlignment="1">
      <alignment horizontal="center" vertical="center" wrapText="1"/>
    </xf>
    <xf numFmtId="0" fontId="8" fillId="11" borderId="26"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7" borderId="22" xfId="0" applyFont="1" applyFill="1" applyBorder="1" applyAlignment="1">
      <alignment horizontal="left" vertical="center" wrapText="1" indent="1"/>
    </xf>
    <xf numFmtId="0" fontId="8" fillId="7" borderId="3" xfId="0" applyFont="1" applyFill="1" applyBorder="1" applyAlignment="1">
      <alignment horizontal="center" vertical="center" wrapText="1"/>
    </xf>
    <xf numFmtId="0" fontId="12" fillId="7" borderId="3" xfId="0" applyFont="1" applyFill="1" applyBorder="1" applyAlignment="1">
      <alignment horizontal="left" vertical="center" wrapText="1"/>
    </xf>
    <xf numFmtId="0" fontId="12" fillId="7" borderId="5" xfId="0" applyFont="1" applyFill="1" applyBorder="1" applyAlignment="1">
      <alignment horizontal="left" vertical="center" wrapText="1"/>
    </xf>
    <xf numFmtId="0" fontId="8" fillId="7" borderId="18" xfId="0" applyFont="1" applyFill="1" applyBorder="1" applyAlignment="1">
      <alignment horizontal="left" vertical="center" wrapText="1" indent="1"/>
    </xf>
    <xf numFmtId="0" fontId="8" fillId="7" borderId="1" xfId="0" applyFont="1" applyFill="1" applyBorder="1" applyAlignment="1">
      <alignment horizontal="center" vertical="center" wrapText="1"/>
    </xf>
    <xf numFmtId="0" fontId="12" fillId="7" borderId="1" xfId="0" applyFont="1" applyFill="1" applyBorder="1" applyAlignment="1">
      <alignment vertical="center" wrapText="1"/>
    </xf>
    <xf numFmtId="0" fontId="12" fillId="7" borderId="6" xfId="0" applyFont="1" applyFill="1" applyBorder="1" applyAlignment="1">
      <alignment vertical="center" wrapText="1"/>
    </xf>
    <xf numFmtId="0" fontId="12" fillId="7" borderId="19" xfId="0" applyFont="1" applyFill="1" applyBorder="1" applyAlignment="1">
      <alignment vertical="center" wrapText="1"/>
    </xf>
    <xf numFmtId="0" fontId="12" fillId="7" borderId="1" xfId="0" applyFont="1" applyFill="1" applyBorder="1" applyAlignment="1">
      <alignment horizontal="left" vertical="center" wrapText="1"/>
    </xf>
    <xf numFmtId="0" fontId="12" fillId="7" borderId="6" xfId="0" applyFont="1" applyFill="1" applyBorder="1" applyAlignment="1">
      <alignment horizontal="left" vertical="center" wrapText="1"/>
    </xf>
    <xf numFmtId="0" fontId="12" fillId="7" borderId="19" xfId="0" applyFont="1" applyFill="1" applyBorder="1" applyAlignment="1">
      <alignment horizontal="left" vertical="center" wrapText="1"/>
    </xf>
    <xf numFmtId="0" fontId="18" fillId="7" borderId="19" xfId="12" applyFill="1" applyBorder="1" applyAlignment="1">
      <alignment vertical="center" wrapText="1"/>
    </xf>
    <xf numFmtId="0" fontId="18" fillId="7" borderId="6" xfId="12" applyFill="1" applyBorder="1" applyAlignment="1">
      <alignment horizontal="left" vertical="center" wrapText="1"/>
    </xf>
    <xf numFmtId="0" fontId="8" fillId="7" borderId="1" xfId="0" applyFont="1" applyFill="1" applyBorder="1" applyAlignment="1">
      <alignment horizontal="center" vertical="center"/>
    </xf>
    <xf numFmtId="0" fontId="8" fillId="7" borderId="18" xfId="0" applyFont="1" applyFill="1" applyBorder="1" applyAlignment="1">
      <alignment horizontal="left" vertical="center" indent="1"/>
    </xf>
    <xf numFmtId="0" fontId="12" fillId="7" borderId="19" xfId="0" applyFont="1" applyFill="1" applyBorder="1" applyAlignment="1">
      <alignment vertical="center"/>
    </xf>
    <xf numFmtId="0" fontId="8" fillId="7" borderId="20" xfId="0" applyFont="1" applyFill="1" applyBorder="1" applyAlignment="1">
      <alignment horizontal="left" indent="1"/>
    </xf>
    <xf numFmtId="0" fontId="12" fillId="7" borderId="7" xfId="0" applyFont="1" applyFill="1" applyBorder="1" applyAlignment="1">
      <alignment horizontal="center" vertical="center"/>
    </xf>
    <xf numFmtId="0" fontId="12" fillId="7" borderId="7" xfId="0" applyFont="1" applyFill="1" applyBorder="1"/>
    <xf numFmtId="0" fontId="12" fillId="7" borderId="1" xfId="0" applyFont="1" applyFill="1" applyBorder="1" applyAlignment="1">
      <alignment wrapText="1"/>
    </xf>
    <xf numFmtId="0" fontId="12" fillId="7" borderId="7" xfId="0" applyFont="1" applyFill="1" applyBorder="1" applyAlignment="1">
      <alignment wrapText="1"/>
    </xf>
    <xf numFmtId="0" fontId="22" fillId="4" borderId="0" xfId="0" applyFont="1" applyFill="1"/>
    <xf numFmtId="0" fontId="22" fillId="3" borderId="0" xfId="0" applyFont="1" applyFill="1"/>
    <xf numFmtId="0" fontId="23" fillId="3" borderId="0" xfId="0" applyFont="1" applyFill="1"/>
    <xf numFmtId="169" fontId="0" fillId="0" borderId="0" xfId="0" applyNumberFormat="1"/>
    <xf numFmtId="9" fontId="0" fillId="0" borderId="0" xfId="2" applyFont="1"/>
    <xf numFmtId="0" fontId="20" fillId="13" borderId="1" xfId="0" applyFont="1" applyFill="1" applyBorder="1"/>
    <xf numFmtId="0" fontId="20" fillId="13" borderId="8" xfId="0" applyFont="1" applyFill="1" applyBorder="1" applyAlignment="1">
      <alignment horizontal="center"/>
    </xf>
    <xf numFmtId="0" fontId="20" fillId="13" borderId="6" xfId="0" applyFont="1" applyFill="1" applyBorder="1"/>
    <xf numFmtId="0" fontId="13" fillId="5" borderId="1" xfId="0" applyFont="1" applyFill="1" applyBorder="1" applyAlignment="1">
      <alignment horizontal="center" vertical="center" wrapText="1"/>
    </xf>
    <xf numFmtId="0" fontId="24" fillId="18" borderId="1" xfId="0" applyFont="1" applyFill="1" applyBorder="1" applyAlignment="1">
      <alignment horizontal="center" vertical="center" wrapText="1"/>
    </xf>
    <xf numFmtId="0" fontId="25" fillId="19" borderId="1" xfId="0" applyFont="1" applyFill="1" applyBorder="1" applyAlignment="1">
      <alignment horizontal="center" vertical="center" wrapText="1"/>
    </xf>
    <xf numFmtId="0" fontId="25" fillId="18" borderId="11" xfId="0" applyFont="1" applyFill="1" applyBorder="1" applyAlignment="1">
      <alignment horizontal="center" vertical="center" wrapText="1"/>
    </xf>
    <xf numFmtId="0" fontId="26" fillId="0" borderId="0" xfId="0" applyFont="1"/>
    <xf numFmtId="0" fontId="26" fillId="0" borderId="1" xfId="0" applyFont="1" applyBorder="1" applyAlignment="1">
      <alignment horizontal="center" vertical="center"/>
    </xf>
    <xf numFmtId="0" fontId="26" fillId="0" borderId="1" xfId="0" applyFont="1" applyBorder="1"/>
    <xf numFmtId="169" fontId="26" fillId="0" borderId="1" xfId="1" applyNumberFormat="1" applyFont="1" applyBorder="1"/>
    <xf numFmtId="168" fontId="26" fillId="0" borderId="0" xfId="0" applyNumberFormat="1" applyFont="1"/>
    <xf numFmtId="169" fontId="26" fillId="0" borderId="0" xfId="0" applyNumberFormat="1" applyFont="1"/>
    <xf numFmtId="0" fontId="0" fillId="0" borderId="0" xfId="0" applyAlignment="1">
      <alignment horizontal="left"/>
    </xf>
    <xf numFmtId="0" fontId="0" fillId="0" borderId="0" xfId="0" pivotButton="1"/>
    <xf numFmtId="9" fontId="0" fillId="0" borderId="0" xfId="0" applyNumberFormat="1"/>
    <xf numFmtId="171" fontId="0" fillId="0" borderId="0" xfId="1" applyNumberFormat="1" applyFont="1"/>
    <xf numFmtId="171" fontId="0" fillId="0" borderId="0" xfId="1" pivotButton="1" applyNumberFormat="1" applyFont="1"/>
    <xf numFmtId="11" fontId="0" fillId="0" borderId="0" xfId="14" applyNumberFormat="1" applyFont="1"/>
    <xf numFmtId="11" fontId="12" fillId="0" borderId="0" xfId="8" applyNumberFormat="1"/>
    <xf numFmtId="0" fontId="4" fillId="0" borderId="1" xfId="8" applyFont="1" applyBorder="1"/>
    <xf numFmtId="168" fontId="0" fillId="0" borderId="0" xfId="14" applyFont="1"/>
    <xf numFmtId="0" fontId="4" fillId="0" borderId="3" xfId="8" applyFont="1" applyBorder="1"/>
    <xf numFmtId="0" fontId="12" fillId="0" borderId="28" xfId="8" applyBorder="1"/>
    <xf numFmtId="0" fontId="8" fillId="11" borderId="28" xfId="8" applyFont="1" applyFill="1" applyBorder="1" applyAlignment="1">
      <alignment horizontal="center" vertical="center" wrapText="1"/>
    </xf>
    <xf numFmtId="0" fontId="8" fillId="3" borderId="28" xfId="8" applyFont="1" applyFill="1" applyBorder="1" applyAlignment="1">
      <alignment horizontal="center" vertical="center" wrapText="1"/>
    </xf>
    <xf numFmtId="0" fontId="8" fillId="3" borderId="28" xfId="8" applyFont="1" applyFill="1" applyBorder="1" applyAlignment="1">
      <alignment horizontal="center" vertical="center"/>
    </xf>
    <xf numFmtId="0" fontId="27" fillId="5" borderId="17" xfId="0" applyFont="1" applyFill="1" applyBorder="1" applyAlignment="1">
      <alignment horizontal="center" vertical="center" wrapText="1"/>
    </xf>
    <xf numFmtId="0" fontId="14" fillId="11" borderId="17" xfId="0" applyFont="1" applyFill="1" applyBorder="1" applyAlignment="1">
      <alignment horizontal="center" vertical="center" wrapText="1"/>
    </xf>
    <xf numFmtId="0" fontId="0" fillId="5" borderId="9" xfId="0" applyFill="1" applyBorder="1" applyAlignment="1">
      <alignment horizontal="center" vertical="center"/>
    </xf>
    <xf numFmtId="0" fontId="28" fillId="0" borderId="1" xfId="0" applyFont="1" applyBorder="1"/>
    <xf numFmtId="0" fontId="28" fillId="0" borderId="1" xfId="0" applyFont="1" applyBorder="1" applyAlignment="1">
      <alignment horizontal="center" vertical="center"/>
    </xf>
    <xf numFmtId="0" fontId="29" fillId="0" borderId="1" xfId="0" applyFont="1" applyBorder="1"/>
    <xf numFmtId="4" fontId="29" fillId="20" borderId="1" xfId="1" applyNumberFormat="1" applyFont="1" applyFill="1" applyBorder="1"/>
    <xf numFmtId="0" fontId="29" fillId="20" borderId="1" xfId="0" applyFont="1" applyFill="1" applyBorder="1"/>
    <xf numFmtId="0" fontId="29" fillId="20" borderId="1" xfId="13" applyFont="1" applyFill="1" applyBorder="1"/>
    <xf numFmtId="0" fontId="29" fillId="0" borderId="1" xfId="0" applyFont="1" applyBorder="1" applyAlignment="1">
      <alignment horizontal="center" vertical="center"/>
    </xf>
    <xf numFmtId="168" fontId="29" fillId="20" borderId="1" xfId="13" applyNumberFormat="1" applyFont="1" applyFill="1" applyBorder="1"/>
    <xf numFmtId="11" fontId="29" fillId="20" borderId="1" xfId="13" applyNumberFormat="1" applyFont="1" applyFill="1" applyBorder="1"/>
    <xf numFmtId="169" fontId="29" fillId="20" borderId="1" xfId="13" applyNumberFormat="1" applyFont="1" applyFill="1" applyBorder="1"/>
    <xf numFmtId="174" fontId="28" fillId="20" borderId="1" xfId="1" applyNumberFormat="1" applyFont="1" applyFill="1" applyBorder="1"/>
    <xf numFmtId="0" fontId="28" fillId="20" borderId="1" xfId="0" applyFont="1" applyFill="1" applyBorder="1"/>
    <xf numFmtId="168" fontId="28" fillId="20" borderId="1" xfId="1" applyFont="1" applyFill="1" applyBorder="1"/>
    <xf numFmtId="169" fontId="29" fillId="20" borderId="1" xfId="1" applyNumberFormat="1" applyFont="1" applyFill="1" applyBorder="1"/>
    <xf numFmtId="0" fontId="29" fillId="0" borderId="0" xfId="0" applyFont="1"/>
    <xf numFmtId="0" fontId="30" fillId="21" borderId="28" xfId="0" applyFont="1" applyFill="1" applyBorder="1" applyAlignment="1">
      <alignment horizontal="left" vertical="center"/>
    </xf>
    <xf numFmtId="0" fontId="31" fillId="21" borderId="28" xfId="0" applyFont="1" applyFill="1" applyBorder="1" applyAlignment="1">
      <alignment horizontal="center" wrapText="1"/>
    </xf>
    <xf numFmtId="0" fontId="31" fillId="21" borderId="28" xfId="0" applyFont="1" applyFill="1" applyBorder="1" applyAlignment="1">
      <alignment horizontal="center" vertical="center" wrapText="1"/>
    </xf>
    <xf numFmtId="0" fontId="31" fillId="21" borderId="29" xfId="0" applyFont="1" applyFill="1" applyBorder="1" applyAlignment="1">
      <alignment horizontal="center" vertical="center" wrapText="1"/>
    </xf>
    <xf numFmtId="0" fontId="33" fillId="0" borderId="0" xfId="0" applyFont="1"/>
    <xf numFmtId="0" fontId="31" fillId="21" borderId="2" xfId="0" applyFont="1" applyFill="1" applyBorder="1" applyAlignment="1">
      <alignment horizontal="center" vertical="center" wrapText="1"/>
    </xf>
    <xf numFmtId="0" fontId="32" fillId="21" borderId="17" xfId="0" applyFont="1" applyFill="1" applyBorder="1" applyAlignment="1">
      <alignment horizontal="center" vertical="center" wrapText="1"/>
    </xf>
    <xf numFmtId="0" fontId="33" fillId="21" borderId="30" xfId="0" applyFont="1" applyFill="1" applyBorder="1" applyAlignment="1">
      <alignment horizontal="center" vertical="center" wrapText="1"/>
    </xf>
    <xf numFmtId="169" fontId="14" fillId="11" borderId="17" xfId="1" applyNumberFormat="1" applyFont="1" applyFill="1" applyBorder="1" applyAlignment="1">
      <alignment horizontal="center" vertical="center" wrapText="1"/>
    </xf>
    <xf numFmtId="169" fontId="12" fillId="0" borderId="0" xfId="1" applyNumberFormat="1" applyFont="1"/>
    <xf numFmtId="168" fontId="0" fillId="0" borderId="1" xfId="1" applyFont="1" applyBorder="1"/>
    <xf numFmtId="0" fontId="14" fillId="3" borderId="9" xfId="0" applyFont="1" applyFill="1" applyBorder="1" applyAlignment="1">
      <alignment horizontal="center" vertical="center" wrapText="1"/>
    </xf>
    <xf numFmtId="0" fontId="8" fillId="7" borderId="31" xfId="0" applyFont="1" applyFill="1" applyBorder="1" applyAlignment="1">
      <alignment horizontal="left" vertical="center" indent="1"/>
    </xf>
    <xf numFmtId="0" fontId="8" fillId="7" borderId="10" xfId="0" applyFont="1" applyFill="1" applyBorder="1" applyAlignment="1">
      <alignment horizontal="center" vertical="center"/>
    </xf>
    <xf numFmtId="0" fontId="12" fillId="7" borderId="10" xfId="0" applyFont="1" applyFill="1" applyBorder="1" applyAlignment="1">
      <alignment vertical="center" wrapText="1"/>
    </xf>
    <xf numFmtId="0" fontId="12" fillId="7" borderId="32" xfId="0" applyFont="1" applyFill="1" applyBorder="1" applyAlignment="1">
      <alignment vertical="center"/>
    </xf>
    <xf numFmtId="0" fontId="12" fillId="7" borderId="23" xfId="0" applyFont="1" applyFill="1" applyBorder="1" applyAlignment="1">
      <alignment vertical="center" wrapText="1"/>
    </xf>
    <xf numFmtId="0" fontId="12" fillId="7" borderId="21" xfId="0" applyFont="1" applyFill="1" applyBorder="1" applyAlignment="1">
      <alignment vertical="center"/>
    </xf>
    <xf numFmtId="0" fontId="18" fillId="7" borderId="32" xfId="12" applyFill="1" applyBorder="1" applyAlignment="1">
      <alignment vertical="center"/>
    </xf>
    <xf numFmtId="0" fontId="4" fillId="5" borderId="17" xfId="0" applyFont="1" applyFill="1" applyBorder="1" applyAlignment="1">
      <alignment horizontal="center" vertical="center" wrapText="1"/>
    </xf>
    <xf numFmtId="0" fontId="0" fillId="0" borderId="0" xfId="0" applyAlignment="1">
      <alignment vertical="top" wrapText="1"/>
    </xf>
    <xf numFmtId="179" fontId="0" fillId="0" borderId="1" xfId="1" applyNumberFormat="1" applyFont="1" applyBorder="1"/>
    <xf numFmtId="166" fontId="0" fillId="0" borderId="1" xfId="1" applyNumberFormat="1" applyFont="1" applyBorder="1"/>
    <xf numFmtId="0" fontId="34" fillId="0" borderId="1" xfId="12" applyFont="1" applyBorder="1"/>
    <xf numFmtId="0" fontId="0" fillId="0" borderId="0" xfId="0" applyAlignment="1">
      <alignment horizontal="center" vertical="center"/>
    </xf>
    <xf numFmtId="0" fontId="19" fillId="23" borderId="4" xfId="0" applyFont="1" applyFill="1" applyBorder="1" applyAlignment="1">
      <alignment horizontal="center" vertical="center" wrapText="1"/>
    </xf>
    <xf numFmtId="0" fontId="19" fillId="23" borderId="9" xfId="0" applyFont="1" applyFill="1" applyBorder="1" applyAlignment="1">
      <alignment horizontal="center" vertical="center" wrapText="1"/>
    </xf>
    <xf numFmtId="0" fontId="35" fillId="24" borderId="13" xfId="0" applyFont="1" applyFill="1" applyBorder="1" applyAlignment="1">
      <alignment horizontal="center" vertical="center" wrapText="1"/>
    </xf>
    <xf numFmtId="0" fontId="35" fillId="24" borderId="14" xfId="0" applyFont="1" applyFill="1" applyBorder="1" applyAlignment="1">
      <alignment horizontal="center" vertical="center" wrapText="1"/>
    </xf>
    <xf numFmtId="169" fontId="20" fillId="25" borderId="15" xfId="1" applyNumberFormat="1" applyFont="1" applyFill="1" applyBorder="1" applyAlignment="1"/>
    <xf numFmtId="0" fontId="20" fillId="25" borderId="16" xfId="0" applyFont="1" applyFill="1" applyBorder="1"/>
    <xf numFmtId="0" fontId="19" fillId="26" borderId="9" xfId="0" applyFont="1" applyFill="1" applyBorder="1" applyAlignment="1">
      <alignment horizontal="center" vertical="center" wrapText="1"/>
    </xf>
    <xf numFmtId="0" fontId="19" fillId="27" borderId="13" xfId="0" applyFont="1" applyFill="1" applyBorder="1" applyAlignment="1">
      <alignment horizontal="center" vertical="center" wrapText="1"/>
    </xf>
    <xf numFmtId="0" fontId="19" fillId="27" borderId="14" xfId="0" applyFont="1" applyFill="1" applyBorder="1" applyAlignment="1">
      <alignment horizontal="center" vertical="center" wrapText="1"/>
    </xf>
    <xf numFmtId="0" fontId="19" fillId="4" borderId="13" xfId="0" applyFont="1" applyFill="1" applyBorder="1" applyAlignment="1">
      <alignment horizontal="center" vertical="center" wrapText="1"/>
    </xf>
    <xf numFmtId="0" fontId="19" fillId="4" borderId="9" xfId="0" applyFont="1" applyFill="1" applyBorder="1" applyAlignment="1">
      <alignment horizontal="center" vertical="center" wrapText="1"/>
    </xf>
    <xf numFmtId="0" fontId="19" fillId="28" borderId="13" xfId="0" applyFont="1" applyFill="1" applyBorder="1" applyAlignment="1">
      <alignment horizontal="center" vertical="center" wrapText="1"/>
    </xf>
    <xf numFmtId="0" fontId="19" fillId="28" borderId="14" xfId="0" applyFont="1" applyFill="1" applyBorder="1" applyAlignment="1">
      <alignment horizontal="center" vertical="center" wrapText="1"/>
    </xf>
    <xf numFmtId="0" fontId="19" fillId="29" borderId="13" xfId="0" applyFont="1" applyFill="1" applyBorder="1" applyAlignment="1">
      <alignment horizontal="center" vertical="center" wrapText="1"/>
    </xf>
    <xf numFmtId="0" fontId="19" fillId="29" borderId="14" xfId="0" applyFont="1" applyFill="1" applyBorder="1" applyAlignment="1">
      <alignment horizontal="center" vertical="center" wrapText="1"/>
    </xf>
    <xf numFmtId="169" fontId="20" fillId="25" borderId="34" xfId="1" applyNumberFormat="1" applyFont="1" applyFill="1" applyBorder="1"/>
    <xf numFmtId="9" fontId="20" fillId="30" borderId="8" xfId="2" applyFont="1" applyFill="1" applyBorder="1"/>
    <xf numFmtId="9" fontId="20" fillId="30" borderId="3" xfId="2" applyFont="1" applyFill="1" applyBorder="1"/>
    <xf numFmtId="9" fontId="20" fillId="30" borderId="5" xfId="2" applyFont="1" applyFill="1" applyBorder="1"/>
    <xf numFmtId="170" fontId="20" fillId="31" borderId="15" xfId="2" applyNumberFormat="1" applyFont="1" applyFill="1" applyBorder="1"/>
    <xf numFmtId="9" fontId="20" fillId="31" borderId="35" xfId="2" applyFont="1" applyFill="1" applyBorder="1"/>
    <xf numFmtId="177" fontId="20" fillId="32" borderId="15" xfId="1" applyNumberFormat="1" applyFont="1" applyFill="1" applyBorder="1"/>
    <xf numFmtId="0" fontId="20" fillId="32" borderId="6" xfId="0" applyFont="1" applyFill="1" applyBorder="1"/>
    <xf numFmtId="169" fontId="20" fillId="32" borderId="15" xfId="1" applyNumberFormat="1" applyFont="1" applyFill="1" applyBorder="1"/>
    <xf numFmtId="11" fontId="20" fillId="32" borderId="15" xfId="1" applyNumberFormat="1" applyFont="1" applyFill="1" applyBorder="1"/>
    <xf numFmtId="0" fontId="20" fillId="32" borderId="37" xfId="0" applyFont="1" applyFill="1" applyBorder="1"/>
    <xf numFmtId="0" fontId="20" fillId="33" borderId="36" xfId="0" applyFont="1" applyFill="1" applyBorder="1"/>
    <xf numFmtId="168" fontId="20" fillId="33" borderId="15" xfId="0" applyNumberFormat="1" applyFont="1" applyFill="1" applyBorder="1"/>
    <xf numFmtId="168" fontId="20" fillId="33" borderId="38" xfId="0" applyNumberFormat="1" applyFont="1" applyFill="1" applyBorder="1"/>
    <xf numFmtId="0" fontId="20" fillId="33" borderId="39" xfId="0" applyFont="1" applyFill="1" applyBorder="1"/>
    <xf numFmtId="0" fontId="20" fillId="34" borderId="16" xfId="0" applyFont="1" applyFill="1" applyBorder="1"/>
    <xf numFmtId="167" fontId="20" fillId="34" borderId="15" xfId="1" applyNumberFormat="1" applyFont="1" applyFill="1" applyBorder="1"/>
    <xf numFmtId="167" fontId="20" fillId="34" borderId="15" xfId="0" applyNumberFormat="1" applyFont="1" applyFill="1" applyBorder="1"/>
    <xf numFmtId="169" fontId="35" fillId="24" borderId="33" xfId="1" applyNumberFormat="1" applyFont="1" applyFill="1" applyBorder="1" applyAlignment="1">
      <alignment horizontal="center" vertical="center" wrapText="1"/>
    </xf>
    <xf numFmtId="0" fontId="36" fillId="35" borderId="1" xfId="0" applyFont="1" applyFill="1" applyBorder="1"/>
    <xf numFmtId="173" fontId="0" fillId="0" borderId="0" xfId="0" applyNumberFormat="1"/>
    <xf numFmtId="3" fontId="0" fillId="0" borderId="0" xfId="0" applyNumberFormat="1"/>
    <xf numFmtId="0" fontId="32" fillId="21" borderId="30" xfId="0" applyFont="1" applyFill="1" applyBorder="1" applyAlignment="1">
      <alignment horizontal="center" vertical="center" wrapText="1"/>
    </xf>
    <xf numFmtId="0" fontId="26" fillId="0" borderId="40" xfId="0" applyFont="1" applyBorder="1"/>
    <xf numFmtId="0" fontId="26" fillId="0" borderId="40" xfId="0" applyFont="1" applyBorder="1" applyAlignment="1">
      <alignment horizontal="center"/>
    </xf>
    <xf numFmtId="0" fontId="29" fillId="0" borderId="40" xfId="0" applyFont="1" applyBorder="1"/>
    <xf numFmtId="0" fontId="26" fillId="0" borderId="40" xfId="0" applyFont="1" applyBorder="1" applyAlignment="1">
      <alignment horizontal="center" vertical="center"/>
    </xf>
    <xf numFmtId="11" fontId="26" fillId="22" borderId="40" xfId="0" applyNumberFormat="1" applyFont="1" applyFill="1" applyBorder="1"/>
    <xf numFmtId="2" fontId="26" fillId="22" borderId="40" xfId="0" applyNumberFormat="1" applyFont="1" applyFill="1" applyBorder="1"/>
    <xf numFmtId="11" fontId="26" fillId="22" borderId="40" xfId="1" applyNumberFormat="1" applyFont="1" applyFill="1" applyBorder="1"/>
    <xf numFmtId="168" fontId="0" fillId="18" borderId="1" xfId="1" applyFont="1" applyFill="1" applyBorder="1"/>
    <xf numFmtId="0" fontId="26" fillId="0" borderId="3" xfId="0" applyFont="1" applyBorder="1"/>
    <xf numFmtId="0" fontId="26" fillId="0" borderId="3" xfId="0" applyFont="1" applyBorder="1" applyAlignment="1">
      <alignment horizontal="center"/>
    </xf>
    <xf numFmtId="0" fontId="29" fillId="0" borderId="3" xfId="0" applyFont="1" applyBorder="1"/>
    <xf numFmtId="0" fontId="26" fillId="0" borderId="3" xfId="0" applyFont="1" applyBorder="1" applyAlignment="1">
      <alignment horizontal="center" vertical="center"/>
    </xf>
    <xf numFmtId="11" fontId="26" fillId="22" borderId="3" xfId="0" applyNumberFormat="1" applyFont="1" applyFill="1" applyBorder="1"/>
    <xf numFmtId="2" fontId="26" fillId="22" borderId="3" xfId="0" applyNumberFormat="1" applyFont="1" applyFill="1" applyBorder="1"/>
    <xf numFmtId="11" fontId="26" fillId="22" borderId="3" xfId="1" applyNumberFormat="1" applyFont="1" applyFill="1" applyBorder="1"/>
    <xf numFmtId="0" fontId="0" fillId="0" borderId="0" xfId="0" applyAlignment="1">
      <alignment horizontal="left" indent="1"/>
    </xf>
    <xf numFmtId="0" fontId="37" fillId="0" borderId="1" xfId="3" applyFont="1" applyBorder="1"/>
    <xf numFmtId="9" fontId="37" fillId="0" borderId="1" xfId="2" applyFont="1" applyFill="1" applyBorder="1"/>
    <xf numFmtId="169" fontId="37" fillId="0" borderId="3" xfId="1" applyNumberFormat="1" applyFont="1" applyFill="1" applyBorder="1"/>
    <xf numFmtId="0" fontId="37" fillId="0" borderId="1" xfId="0" applyFont="1" applyBorder="1"/>
    <xf numFmtId="0" fontId="37" fillId="0" borderId="3" xfId="0" applyFont="1" applyBorder="1"/>
    <xf numFmtId="0" fontId="12" fillId="0" borderId="1" xfId="8" applyBorder="1"/>
    <xf numFmtId="11" fontId="12" fillId="0" borderId="1" xfId="8" applyNumberFormat="1" applyBorder="1" applyAlignment="1">
      <alignment horizontal="center"/>
    </xf>
    <xf numFmtId="0" fontId="8" fillId="36" borderId="1" xfId="8" applyFont="1" applyFill="1" applyBorder="1"/>
    <xf numFmtId="11" fontId="12" fillId="10" borderId="1" xfId="8" applyNumberFormat="1" applyFill="1" applyBorder="1"/>
    <xf numFmtId="11" fontId="12" fillId="10" borderId="6" xfId="8" applyNumberFormat="1" applyFill="1" applyBorder="1"/>
    <xf numFmtId="181" fontId="0" fillId="0" borderId="0" xfId="0" applyNumberFormat="1"/>
    <xf numFmtId="173" fontId="9" fillId="0" borderId="1" xfId="0" applyNumberFormat="1" applyFont="1" applyBorder="1"/>
    <xf numFmtId="170" fontId="9" fillId="0" borderId="1" xfId="0" applyNumberFormat="1" applyFont="1" applyBorder="1"/>
    <xf numFmtId="168" fontId="9" fillId="0" borderId="1" xfId="1" applyFont="1" applyFill="1" applyBorder="1"/>
    <xf numFmtId="169" fontId="9" fillId="0" borderId="1" xfId="1" applyNumberFormat="1" applyFont="1" applyFill="1" applyBorder="1"/>
    <xf numFmtId="173" fontId="9" fillId="0" borderId="3" xfId="0" applyNumberFormat="1" applyFont="1" applyBorder="1"/>
    <xf numFmtId="170" fontId="9" fillId="0" borderId="3" xfId="0" applyNumberFormat="1" applyFont="1" applyBorder="1"/>
    <xf numFmtId="168" fontId="9" fillId="0" borderId="3" xfId="1" applyFont="1" applyFill="1" applyBorder="1"/>
    <xf numFmtId="169" fontId="9" fillId="0" borderId="3" xfId="1" applyNumberFormat="1" applyFont="1" applyFill="1" applyBorder="1"/>
    <xf numFmtId="168" fontId="9" fillId="0" borderId="3" xfId="0" applyNumberFormat="1" applyFont="1" applyBorder="1"/>
    <xf numFmtId="173" fontId="9" fillId="15" borderId="3" xfId="0" applyNumberFormat="1" applyFont="1" applyFill="1" applyBorder="1"/>
    <xf numFmtId="0" fontId="10" fillId="14" borderId="43" xfId="0" applyFont="1" applyFill="1" applyBorder="1" applyAlignment="1">
      <alignment horizontal="center" vertical="center" wrapText="1"/>
    </xf>
    <xf numFmtId="0" fontId="10" fillId="12" borderId="9" xfId="0" applyFont="1" applyFill="1" applyBorder="1" applyAlignment="1">
      <alignment horizontal="center" vertical="center" wrapText="1"/>
    </xf>
    <xf numFmtId="11" fontId="12" fillId="10" borderId="3" xfId="8" applyNumberFormat="1" applyFill="1" applyBorder="1"/>
    <xf numFmtId="0" fontId="38" fillId="36" borderId="41" xfId="8" applyFont="1" applyFill="1" applyBorder="1" applyAlignment="1">
      <alignment horizontal="left" vertical="center" wrapText="1"/>
    </xf>
    <xf numFmtId="0" fontId="38" fillId="36" borderId="3" xfId="8" applyFont="1" applyFill="1" applyBorder="1" applyAlignment="1">
      <alignment horizontal="left" vertical="center" wrapText="1"/>
    </xf>
    <xf numFmtId="0" fontId="38" fillId="37" borderId="3" xfId="8" applyFont="1" applyFill="1" applyBorder="1" applyAlignment="1">
      <alignment horizontal="left" vertical="center" wrapText="1"/>
    </xf>
    <xf numFmtId="0" fontId="38" fillId="37" borderId="5" xfId="8" applyFont="1" applyFill="1" applyBorder="1" applyAlignment="1">
      <alignment horizontal="left" vertical="center" wrapText="1"/>
    </xf>
    <xf numFmtId="0" fontId="10" fillId="6" borderId="0" xfId="0" applyFont="1" applyFill="1" applyAlignment="1">
      <alignment horizontal="left" indent="1"/>
    </xf>
    <xf numFmtId="0" fontId="2" fillId="0" borderId="0" xfId="0" applyFont="1" applyAlignment="1">
      <alignment horizontal="left" indent="1"/>
    </xf>
    <xf numFmtId="0" fontId="40" fillId="3" borderId="0" xfId="0" applyFont="1" applyFill="1"/>
    <xf numFmtId="0" fontId="41" fillId="3" borderId="0" xfId="0" applyFont="1" applyFill="1"/>
    <xf numFmtId="0" fontId="0" fillId="0" borderId="0" xfId="0" applyAlignment="1">
      <alignment horizontal="left" indent="2"/>
    </xf>
    <xf numFmtId="0" fontId="10" fillId="0" borderId="0" xfId="0" applyFont="1" applyAlignment="1">
      <alignment horizontal="left" indent="1"/>
    </xf>
    <xf numFmtId="0" fontId="0" fillId="10" borderId="0" xfId="0" applyFill="1"/>
    <xf numFmtId="175" fontId="0" fillId="10" borderId="0" xfId="0" applyNumberFormat="1" applyFill="1"/>
    <xf numFmtId="9" fontId="0" fillId="10" borderId="0" xfId="2" applyFont="1" applyFill="1"/>
    <xf numFmtId="171" fontId="0" fillId="10" borderId="0" xfId="1" applyNumberFormat="1" applyFont="1" applyFill="1"/>
    <xf numFmtId="1" fontId="0" fillId="10" borderId="0" xfId="2" applyNumberFormat="1" applyFont="1" applyFill="1"/>
    <xf numFmtId="169" fontId="0" fillId="10" borderId="0" xfId="1" applyNumberFormat="1" applyFont="1" applyFill="1"/>
    <xf numFmtId="3" fontId="0" fillId="10" borderId="0" xfId="0" applyNumberFormat="1" applyFill="1"/>
    <xf numFmtId="182" fontId="0" fillId="10" borderId="0" xfId="0" applyNumberFormat="1" applyFill="1"/>
    <xf numFmtId="173" fontId="16" fillId="10" borderId="0" xfId="0" applyNumberFormat="1" applyFont="1" applyFill="1"/>
    <xf numFmtId="0" fontId="16" fillId="10" borderId="0" xfId="0" applyFont="1" applyFill="1"/>
    <xf numFmtId="178" fontId="0" fillId="10" borderId="0" xfId="2" applyNumberFormat="1" applyFont="1" applyFill="1"/>
    <xf numFmtId="2" fontId="16" fillId="0" borderId="0" xfId="0" applyNumberFormat="1" applyFont="1"/>
    <xf numFmtId="168" fontId="0" fillId="0" borderId="0" xfId="1" applyFont="1" applyFill="1"/>
    <xf numFmtId="169" fontId="0" fillId="0" borderId="0" xfId="1" applyNumberFormat="1" applyFont="1" applyFill="1"/>
    <xf numFmtId="182" fontId="0" fillId="0" borderId="0" xfId="0" applyNumberFormat="1"/>
    <xf numFmtId="176" fontId="0" fillId="0" borderId="0" xfId="1" applyNumberFormat="1" applyFont="1" applyFill="1"/>
    <xf numFmtId="4" fontId="0" fillId="0" borderId="0" xfId="0" applyNumberFormat="1"/>
    <xf numFmtId="4" fontId="0" fillId="10" borderId="0" xfId="0" applyNumberFormat="1" applyFill="1"/>
    <xf numFmtId="0" fontId="0" fillId="0" borderId="42" xfId="0" applyBorder="1"/>
    <xf numFmtId="0" fontId="0" fillId="0" borderId="44" xfId="0" applyBorder="1"/>
    <xf numFmtId="170" fontId="0" fillId="0" borderId="44" xfId="0" applyNumberFormat="1" applyBorder="1"/>
    <xf numFmtId="170" fontId="0" fillId="0" borderId="1" xfId="0" applyNumberFormat="1" applyBorder="1"/>
    <xf numFmtId="0" fontId="0" fillId="0" borderId="46" xfId="0" applyBorder="1"/>
    <xf numFmtId="0" fontId="0" fillId="0" borderId="8" xfId="0" applyBorder="1"/>
    <xf numFmtId="1" fontId="0" fillId="0" borderId="45" xfId="0" applyNumberFormat="1" applyBorder="1"/>
    <xf numFmtId="1" fontId="0" fillId="0" borderId="6" xfId="0" applyNumberFormat="1" applyBorder="1"/>
    <xf numFmtId="0" fontId="10" fillId="13" borderId="47" xfId="3" applyFont="1" applyFill="1" applyBorder="1" applyAlignment="1">
      <alignment horizontal="center" vertical="center" wrapText="1"/>
    </xf>
    <xf numFmtId="0" fontId="10" fillId="13" borderId="48" xfId="3" applyFont="1" applyFill="1" applyBorder="1" applyAlignment="1">
      <alignment horizontal="center" vertical="center" wrapText="1"/>
    </xf>
    <xf numFmtId="0" fontId="10" fillId="13" borderId="49" xfId="3" applyFont="1" applyFill="1" applyBorder="1" applyAlignment="1">
      <alignment horizontal="center" vertical="center" wrapText="1"/>
    </xf>
    <xf numFmtId="0" fontId="0" fillId="0" borderId="10" xfId="0" applyBorder="1"/>
    <xf numFmtId="170" fontId="0" fillId="0" borderId="10" xfId="0" applyNumberFormat="1" applyBorder="1"/>
    <xf numFmtId="1" fontId="0" fillId="0" borderId="37" xfId="0" applyNumberFormat="1" applyBorder="1"/>
    <xf numFmtId="0" fontId="19" fillId="4" borderId="0" xfId="0" applyFont="1" applyFill="1"/>
    <xf numFmtId="0" fontId="2" fillId="5" borderId="1" xfId="0" applyFont="1" applyFill="1" applyBorder="1"/>
    <xf numFmtId="0" fontId="35" fillId="4" borderId="0" xfId="0" applyFont="1" applyFill="1"/>
    <xf numFmtId="0" fontId="0" fillId="3" borderId="0" xfId="0" applyFill="1"/>
    <xf numFmtId="0" fontId="19" fillId="0" borderId="0" xfId="0" applyFont="1"/>
    <xf numFmtId="0" fontId="19" fillId="5" borderId="1" xfId="0" applyFont="1" applyFill="1" applyBorder="1"/>
    <xf numFmtId="173" fontId="0" fillId="0" borderId="1" xfId="0" applyNumberFormat="1" applyBorder="1"/>
    <xf numFmtId="0" fontId="19" fillId="6" borderId="0" xfId="0" applyFont="1" applyFill="1"/>
    <xf numFmtId="0" fontId="20" fillId="0" borderId="1" xfId="0" applyFont="1" applyBorder="1"/>
    <xf numFmtId="0" fontId="20" fillId="18" borderId="1" xfId="0" applyFont="1" applyFill="1" applyBorder="1"/>
    <xf numFmtId="0" fontId="2" fillId="2" borderId="1" xfId="0" applyFont="1" applyFill="1" applyBorder="1"/>
    <xf numFmtId="0" fontId="27" fillId="2" borderId="1" xfId="3" applyFont="1" applyFill="1" applyBorder="1"/>
    <xf numFmtId="0" fontId="42" fillId="0" borderId="1" xfId="3" applyFont="1" applyBorder="1"/>
    <xf numFmtId="0" fontId="19" fillId="6" borderId="0" xfId="0" applyFont="1" applyFill="1" applyAlignment="1">
      <alignment horizontal="left" indent="2"/>
    </xf>
    <xf numFmtId="9" fontId="0" fillId="18" borderId="1" xfId="0" applyNumberFormat="1" applyFill="1" applyBorder="1"/>
    <xf numFmtId="0" fontId="0" fillId="18" borderId="1" xfId="0" applyFill="1" applyBorder="1"/>
    <xf numFmtId="0" fontId="2" fillId="9" borderId="5" xfId="8" applyFont="1" applyFill="1" applyBorder="1" applyAlignment="1">
      <alignment vertical="center"/>
    </xf>
    <xf numFmtId="0" fontId="2" fillId="9" borderId="5" xfId="8" applyFont="1" applyFill="1" applyBorder="1" applyAlignment="1">
      <alignment vertical="center" wrapText="1"/>
    </xf>
    <xf numFmtId="0" fontId="39" fillId="10" borderId="1" xfId="8" applyFont="1" applyFill="1" applyBorder="1" applyAlignment="1">
      <alignment horizontal="center" vertical="center"/>
    </xf>
    <xf numFmtId="39" fontId="20" fillId="0" borderId="1" xfId="1" applyNumberFormat="1" applyFont="1" applyBorder="1" applyAlignment="1">
      <alignment horizontal="center" vertical="center"/>
    </xf>
    <xf numFmtId="0" fontId="20" fillId="0" borderId="0" xfId="8" applyFont="1" applyAlignment="1">
      <alignment horizontal="center"/>
    </xf>
    <xf numFmtId="0" fontId="39" fillId="7" borderId="6" xfId="8" applyFont="1" applyFill="1" applyBorder="1" applyAlignment="1">
      <alignment vertical="center"/>
    </xf>
    <xf numFmtId="0" fontId="39" fillId="7" borderId="6" xfId="8" applyFont="1" applyFill="1" applyBorder="1" applyAlignment="1">
      <alignment vertical="center" wrapText="1"/>
    </xf>
    <xf numFmtId="0" fontId="39" fillId="0" borderId="1" xfId="8" applyFont="1" applyBorder="1" applyAlignment="1">
      <alignment horizontal="right" vertical="center"/>
    </xf>
    <xf numFmtId="9" fontId="20" fillId="0" borderId="1" xfId="2" applyFont="1" applyBorder="1" applyAlignment="1"/>
    <xf numFmtId="0" fontId="39" fillId="0" borderId="1" xfId="8" applyFont="1" applyBorder="1" applyAlignment="1">
      <alignment horizontal="right"/>
    </xf>
    <xf numFmtId="178" fontId="0" fillId="0" borderId="0" xfId="0" applyNumberFormat="1"/>
    <xf numFmtId="178" fontId="36" fillId="0" borderId="0" xfId="0" applyNumberFormat="1" applyFont="1"/>
    <xf numFmtId="178" fontId="0" fillId="18" borderId="1" xfId="0" applyNumberFormat="1" applyFill="1" applyBorder="1"/>
    <xf numFmtId="172" fontId="0" fillId="0" borderId="1" xfId="0" applyNumberFormat="1" applyBorder="1"/>
    <xf numFmtId="0" fontId="43" fillId="0" borderId="1" xfId="0" applyFont="1" applyBorder="1"/>
    <xf numFmtId="0" fontId="8" fillId="0" borderId="0" xfId="21" applyFont="1" applyAlignment="1">
      <alignment horizontal="left"/>
    </xf>
    <xf numFmtId="0" fontId="8" fillId="38" borderId="1" xfId="0" applyFont="1" applyFill="1" applyBorder="1"/>
    <xf numFmtId="0" fontId="12" fillId="0" borderId="0" xfId="21"/>
    <xf numFmtId="0" fontId="0" fillId="0" borderId="0" xfId="0" applyAlignment="1">
      <alignment wrapText="1"/>
    </xf>
    <xf numFmtId="0" fontId="12" fillId="0" borderId="0" xfId="21" applyAlignment="1">
      <alignment horizontal="left"/>
    </xf>
    <xf numFmtId="0" fontId="12" fillId="0" borderId="0" xfId="22"/>
    <xf numFmtId="0" fontId="44" fillId="3" borderId="1" xfId="0" applyFont="1" applyFill="1" applyBorder="1" applyAlignment="1">
      <alignment horizontal="center" vertical="center" wrapText="1"/>
    </xf>
    <xf numFmtId="0" fontId="8" fillId="36" borderId="1" xfId="0" applyFont="1" applyFill="1" applyBorder="1" applyAlignment="1">
      <alignment horizontal="center" vertical="center" wrapText="1"/>
    </xf>
    <xf numFmtId="0" fontId="0" fillId="7" borderId="1" xfId="0" applyFill="1" applyBorder="1"/>
    <xf numFmtId="178" fontId="0" fillId="7" borderId="1" xfId="2" applyNumberFormat="1" applyFont="1" applyFill="1" applyBorder="1"/>
    <xf numFmtId="9" fontId="0" fillId="39" borderId="1" xfId="2" applyFont="1" applyFill="1" applyBorder="1"/>
    <xf numFmtId="178" fontId="0" fillId="39" borderId="1" xfId="0" applyNumberFormat="1" applyFill="1" applyBorder="1"/>
    <xf numFmtId="0" fontId="8" fillId="40" borderId="1" xfId="0" applyFont="1" applyFill="1" applyBorder="1" applyAlignment="1">
      <alignment horizontal="center" vertical="center" wrapText="1"/>
    </xf>
    <xf numFmtId="178" fontId="0" fillId="41" borderId="1" xfId="0" applyNumberFormat="1" applyFill="1" applyBorder="1"/>
    <xf numFmtId="0" fontId="45" fillId="42" borderId="0" xfId="0" applyFont="1" applyFill="1" applyAlignment="1">
      <alignment horizontal="left" indent="2"/>
    </xf>
    <xf numFmtId="182" fontId="0" fillId="42" borderId="0" xfId="0" applyNumberFormat="1" applyFill="1"/>
    <xf numFmtId="0" fontId="0" fillId="42" borderId="0" xfId="0" applyFill="1"/>
    <xf numFmtId="0" fontId="0" fillId="43" borderId="0" xfId="0" applyFill="1" applyAlignment="1">
      <alignment horizontal="left" indent="2"/>
    </xf>
    <xf numFmtId="0" fontId="3" fillId="44" borderId="0" xfId="0" applyFont="1" applyFill="1" applyAlignment="1">
      <alignment horizontal="left" indent="2"/>
    </xf>
    <xf numFmtId="182" fontId="0" fillId="44" borderId="0" xfId="0" applyNumberFormat="1" applyFill="1"/>
    <xf numFmtId="0" fontId="0" fillId="44" borderId="0" xfId="0" applyFill="1"/>
    <xf numFmtId="0" fontId="36" fillId="43" borderId="0" xfId="0" applyFont="1" applyFill="1" applyAlignment="1">
      <alignment horizontal="left" indent="2"/>
    </xf>
    <xf numFmtId="182" fontId="36" fillId="45" borderId="0" xfId="0" applyNumberFormat="1" applyFont="1" applyFill="1"/>
    <xf numFmtId="0" fontId="36" fillId="43" borderId="0" xfId="0" applyFont="1" applyFill="1"/>
    <xf numFmtId="0" fontId="36" fillId="43" borderId="0" xfId="0" applyFont="1" applyFill="1" applyAlignment="1">
      <alignment horizontal="left" indent="1"/>
    </xf>
    <xf numFmtId="0" fontId="36" fillId="45" borderId="0" xfId="0" applyFont="1" applyFill="1"/>
    <xf numFmtId="0" fontId="0" fillId="43" borderId="0" xfId="0" applyFill="1" applyAlignment="1">
      <alignment horizontal="left" indent="1"/>
    </xf>
    <xf numFmtId="0" fontId="3" fillId="44" borderId="0" xfId="0" applyFont="1" applyFill="1" applyAlignment="1">
      <alignment horizontal="left" indent="1"/>
    </xf>
    <xf numFmtId="9" fontId="36" fillId="45" borderId="0" xfId="0" applyNumberFormat="1" applyFont="1" applyFill="1"/>
    <xf numFmtId="1" fontId="36" fillId="45" borderId="0" xfId="0" applyNumberFormat="1" applyFont="1" applyFill="1"/>
    <xf numFmtId="173" fontId="36" fillId="45" borderId="0" xfId="0" applyNumberFormat="1" applyFont="1" applyFill="1"/>
    <xf numFmtId="0" fontId="46" fillId="42" borderId="0" xfId="0" applyFont="1" applyFill="1" applyAlignment="1">
      <alignment horizontal="left" indent="1"/>
    </xf>
    <xf numFmtId="0" fontId="46" fillId="42" borderId="0" xfId="0" applyFont="1" applyFill="1" applyAlignment="1">
      <alignment horizontal="center" indent="1"/>
    </xf>
    <xf numFmtId="0" fontId="46" fillId="42" borderId="0" xfId="0" applyFont="1" applyFill="1" applyAlignment="1">
      <alignment horizontal="center"/>
    </xf>
    <xf numFmtId="183" fontId="36" fillId="43" borderId="0" xfId="0" applyNumberFormat="1" applyFont="1" applyFill="1"/>
    <xf numFmtId="184" fontId="36" fillId="43" borderId="0" xfId="0" applyNumberFormat="1" applyFont="1" applyFill="1"/>
    <xf numFmtId="0" fontId="27" fillId="44" borderId="0" xfId="0" applyFont="1" applyFill="1" applyAlignment="1">
      <alignment horizontal="left" indent="1"/>
    </xf>
    <xf numFmtId="0" fontId="2" fillId="44" borderId="0" xfId="0" applyFont="1" applyFill="1"/>
    <xf numFmtId="183" fontId="27" fillId="44" borderId="0" xfId="0" applyNumberFormat="1" applyFont="1" applyFill="1"/>
    <xf numFmtId="185" fontId="27" fillId="44" borderId="0" xfId="0" applyNumberFormat="1" applyFont="1" applyFill="1"/>
    <xf numFmtId="0" fontId="2" fillId="42" borderId="0" xfId="0" applyFont="1" applyFill="1"/>
    <xf numFmtId="183" fontId="46" fillId="42" borderId="0" xfId="0" applyNumberFormat="1" applyFont="1" applyFill="1"/>
    <xf numFmtId="185" fontId="46" fillId="42" borderId="0" xfId="0" applyNumberFormat="1" applyFont="1" applyFill="1"/>
    <xf numFmtId="0" fontId="48" fillId="44" borderId="0" xfId="0" applyFont="1" applyFill="1"/>
    <xf numFmtId="0" fontId="50" fillId="0" borderId="0" xfId="0" applyFont="1"/>
    <xf numFmtId="0" fontId="51" fillId="47" borderId="0" xfId="0" applyFont="1" applyFill="1"/>
    <xf numFmtId="3" fontId="52" fillId="46" borderId="0" xfId="0" applyNumberFormat="1" applyFont="1" applyFill="1"/>
    <xf numFmtId="0" fontId="53" fillId="48" borderId="0" xfId="0" applyFont="1" applyFill="1"/>
    <xf numFmtId="0" fontId="0" fillId="48" borderId="0" xfId="0" applyFill="1"/>
    <xf numFmtId="0" fontId="54" fillId="0" borderId="0" xfId="0" applyFont="1"/>
    <xf numFmtId="0" fontId="56" fillId="49" borderId="0" xfId="0" applyFont="1" applyFill="1"/>
    <xf numFmtId="3" fontId="57" fillId="46" borderId="0" xfId="0" applyNumberFormat="1" applyFont="1" applyFill="1"/>
    <xf numFmtId="2" fontId="57" fillId="46" borderId="0" xfId="0" applyNumberFormat="1" applyFont="1" applyFill="1"/>
    <xf numFmtId="0" fontId="47" fillId="42" borderId="0" xfId="0" applyFont="1" applyFill="1"/>
    <xf numFmtId="0" fontId="52" fillId="46" borderId="51" xfId="0" applyFont="1" applyFill="1" applyBorder="1"/>
    <xf numFmtId="0" fontId="50" fillId="0" borderId="51" xfId="0" applyFont="1" applyBorder="1"/>
    <xf numFmtId="3" fontId="52" fillId="46" borderId="51" xfId="0" applyNumberFormat="1" applyFont="1" applyFill="1" applyBorder="1"/>
    <xf numFmtId="0" fontId="0" fillId="0" borderId="52" xfId="0" applyBorder="1"/>
    <xf numFmtId="0" fontId="0" fillId="0" borderId="51" xfId="0" applyBorder="1"/>
    <xf numFmtId="0" fontId="51" fillId="47" borderId="51" xfId="0" applyFont="1" applyFill="1" applyBorder="1"/>
    <xf numFmtId="3" fontId="57" fillId="46" borderId="51" xfId="0" applyNumberFormat="1" applyFont="1" applyFill="1" applyBorder="1"/>
    <xf numFmtId="0" fontId="54" fillId="0" borderId="51" xfId="0" applyFont="1" applyBorder="1"/>
    <xf numFmtId="172" fontId="57" fillId="46" borderId="51" xfId="0" applyNumberFormat="1" applyFont="1" applyFill="1" applyBorder="1"/>
    <xf numFmtId="2" fontId="57" fillId="46" borderId="51" xfId="0" applyNumberFormat="1" applyFont="1" applyFill="1" applyBorder="1"/>
    <xf numFmtId="186" fontId="55" fillId="0" borderId="51" xfId="0" applyNumberFormat="1" applyFont="1" applyBorder="1"/>
    <xf numFmtId="0" fontId="55" fillId="0" borderId="51" xfId="0" applyFont="1" applyBorder="1"/>
    <xf numFmtId="0" fontId="56" fillId="49" borderId="51" xfId="0" applyFont="1" applyFill="1" applyBorder="1"/>
    <xf numFmtId="0" fontId="0" fillId="48" borderId="51" xfId="0" applyFill="1" applyBorder="1"/>
    <xf numFmtId="0" fontId="53" fillId="48" borderId="51" xfId="0" applyFont="1" applyFill="1" applyBorder="1"/>
    <xf numFmtId="9" fontId="57" fillId="46" borderId="51" xfId="0" applyNumberFormat="1" applyFont="1" applyFill="1" applyBorder="1"/>
    <xf numFmtId="3" fontId="54" fillId="0" borderId="51" xfId="0" applyNumberFormat="1" applyFont="1" applyBorder="1"/>
    <xf numFmtId="175" fontId="54" fillId="0" borderId="51" xfId="0" applyNumberFormat="1" applyFont="1" applyBorder="1"/>
    <xf numFmtId="2" fontId="55" fillId="0" borderId="51" xfId="0" applyNumberFormat="1" applyFont="1" applyBorder="1"/>
    <xf numFmtId="2" fontId="54" fillId="0" borderId="51" xfId="0" applyNumberFormat="1" applyFont="1" applyBorder="1"/>
    <xf numFmtId="0" fontId="0" fillId="0" borderId="50" xfId="0" applyBorder="1"/>
    <xf numFmtId="170" fontId="57" fillId="46" borderId="51" xfId="0" applyNumberFormat="1" applyFont="1" applyFill="1" applyBorder="1"/>
    <xf numFmtId="186" fontId="54" fillId="0" borderId="51" xfId="0" applyNumberFormat="1" applyFont="1" applyBorder="1"/>
    <xf numFmtId="0" fontId="54" fillId="0" borderId="51" xfId="0" quotePrefix="1" applyFont="1" applyBorder="1"/>
    <xf numFmtId="0" fontId="50" fillId="0" borderId="52" xfId="0" applyFont="1" applyBorder="1"/>
    <xf numFmtId="186" fontId="50" fillId="0" borderId="51" xfId="0" applyNumberFormat="1" applyFont="1" applyBorder="1"/>
    <xf numFmtId="0" fontId="60" fillId="0" borderId="51" xfId="0" applyFont="1" applyBorder="1"/>
    <xf numFmtId="0" fontId="51" fillId="0" borderId="50" xfId="0" applyFont="1" applyBorder="1"/>
    <xf numFmtId="0" fontId="49" fillId="44" borderId="53" xfId="0" applyFont="1" applyFill="1" applyBorder="1"/>
    <xf numFmtId="186" fontId="49" fillId="44" borderId="53" xfId="0" applyNumberFormat="1" applyFont="1" applyFill="1" applyBorder="1"/>
    <xf numFmtId="0" fontId="61" fillId="44" borderId="53" xfId="0" applyFont="1" applyFill="1" applyBorder="1"/>
    <xf numFmtId="188" fontId="51" fillId="0" borderId="50" xfId="0" applyNumberFormat="1" applyFont="1" applyBorder="1"/>
    <xf numFmtId="0" fontId="18" fillId="0" borderId="0" xfId="12"/>
    <xf numFmtId="186" fontId="57" fillId="46" borderId="51" xfId="0" applyNumberFormat="1" applyFont="1" applyFill="1" applyBorder="1"/>
    <xf numFmtId="0" fontId="62" fillId="5" borderId="11" xfId="0" applyFont="1" applyFill="1" applyBorder="1"/>
    <xf numFmtId="0" fontId="63" fillId="0" borderId="0" xfId="0" applyFont="1"/>
    <xf numFmtId="0" fontId="63" fillId="0" borderId="11" xfId="0" applyFont="1" applyBorder="1"/>
    <xf numFmtId="187" fontId="64" fillId="46" borderId="51" xfId="0" applyNumberFormat="1" applyFont="1" applyFill="1" applyBorder="1"/>
    <xf numFmtId="3" fontId="64" fillId="46" borderId="51" xfId="0" applyNumberFormat="1" applyFont="1" applyFill="1" applyBorder="1"/>
    <xf numFmtId="0" fontId="65" fillId="0" borderId="51" xfId="0" applyFont="1" applyBorder="1"/>
    <xf numFmtId="0" fontId="53" fillId="50" borderId="51" xfId="0" applyFont="1" applyFill="1" applyBorder="1"/>
    <xf numFmtId="0" fontId="65" fillId="48" borderId="51" xfId="0" applyFont="1" applyFill="1" applyBorder="1"/>
    <xf numFmtId="172" fontId="66" fillId="0" borderId="51" xfId="0" applyNumberFormat="1" applyFont="1" applyBorder="1"/>
    <xf numFmtId="0" fontId="65" fillId="0" borderId="51" xfId="0" quotePrefix="1" applyFont="1" applyBorder="1"/>
    <xf numFmtId="3" fontId="66" fillId="46" borderId="51" xfId="0" applyNumberFormat="1" applyFont="1" applyFill="1" applyBorder="1"/>
    <xf numFmtId="0" fontId="20" fillId="34" borderId="36" xfId="0" applyFont="1" applyFill="1" applyBorder="1"/>
    <xf numFmtId="186" fontId="67" fillId="46" borderId="51" xfId="0" applyNumberFormat="1" applyFont="1" applyFill="1" applyBorder="1"/>
    <xf numFmtId="3" fontId="67" fillId="46" borderId="51" xfId="0" applyNumberFormat="1" applyFont="1" applyFill="1" applyBorder="1"/>
    <xf numFmtId="169" fontId="57" fillId="46" borderId="51" xfId="1" applyNumberFormat="1" applyFont="1" applyFill="1" applyBorder="1"/>
    <xf numFmtId="9" fontId="67" fillId="46" borderId="51" xfId="0" applyNumberFormat="1" applyFont="1" applyFill="1" applyBorder="1"/>
    <xf numFmtId="186" fontId="50" fillId="0" borderId="52" xfId="0" applyNumberFormat="1" applyFont="1" applyBorder="1"/>
    <xf numFmtId="0" fontId="60" fillId="0" borderId="52" xfId="0" applyFont="1" applyBorder="1"/>
    <xf numFmtId="189" fontId="20" fillId="34" borderId="15" xfId="0" applyNumberFormat="1" applyFont="1" applyFill="1" applyBorder="1"/>
    <xf numFmtId="0" fontId="68" fillId="52" borderId="13" xfId="0" applyFont="1" applyFill="1" applyBorder="1" applyAlignment="1">
      <alignment horizontal="center" vertical="center" wrapText="1"/>
    </xf>
    <xf numFmtId="0" fontId="68" fillId="52" borderId="14" xfId="0" applyFont="1" applyFill="1" applyBorder="1" applyAlignment="1">
      <alignment horizontal="center" vertical="center" wrapText="1"/>
    </xf>
    <xf numFmtId="169" fontId="69" fillId="51" borderId="33" xfId="1" applyNumberFormat="1" applyFont="1" applyFill="1" applyBorder="1" applyAlignment="1">
      <alignment horizontal="center" vertical="center" wrapText="1"/>
    </xf>
    <xf numFmtId="0" fontId="18" fillId="0" borderId="11" xfId="12" applyFill="1" applyBorder="1"/>
    <xf numFmtId="0" fontId="18" fillId="0" borderId="51" xfId="12" applyBorder="1"/>
    <xf numFmtId="0" fontId="47" fillId="53" borderId="0" xfId="0" applyFont="1" applyFill="1" applyAlignment="1">
      <alignment horizontal="left" indent="1"/>
    </xf>
    <xf numFmtId="0" fontId="0" fillId="53" borderId="0" xfId="0" applyFill="1"/>
    <xf numFmtId="0" fontId="70" fillId="0" borderId="0" xfId="0" applyFont="1"/>
    <xf numFmtId="0" fontId="0" fillId="54" borderId="0" xfId="0" applyFill="1"/>
    <xf numFmtId="0" fontId="71" fillId="0" borderId="0" xfId="0" applyFont="1"/>
    <xf numFmtId="0" fontId="27" fillId="0" borderId="0" xfId="0" applyFont="1"/>
    <xf numFmtId="0" fontId="27" fillId="55" borderId="0" xfId="0" applyFont="1" applyFill="1"/>
    <xf numFmtId="0" fontId="0" fillId="55" borderId="0" xfId="0" applyFill="1"/>
    <xf numFmtId="0" fontId="72" fillId="0" borderId="0" xfId="0" applyFont="1"/>
    <xf numFmtId="2" fontId="72" fillId="0" borderId="0" xfId="0" applyNumberFormat="1" applyFont="1"/>
    <xf numFmtId="172" fontId="72" fillId="0" borderId="0" xfId="0" applyNumberFormat="1" applyFont="1"/>
    <xf numFmtId="170" fontId="72" fillId="0" borderId="0" xfId="0" applyNumberFormat="1" applyFont="1"/>
    <xf numFmtId="187" fontId="0" fillId="0" borderId="0" xfId="0" applyNumberFormat="1"/>
    <xf numFmtId="190" fontId="0" fillId="0" borderId="0" xfId="0" applyNumberFormat="1"/>
    <xf numFmtId="4" fontId="2" fillId="0" borderId="0" xfId="0" applyNumberFormat="1" applyFont="1"/>
    <xf numFmtId="0" fontId="0" fillId="0" borderId="0" xfId="0" quotePrefix="1"/>
    <xf numFmtId="3" fontId="72" fillId="0" borderId="0" xfId="0" applyNumberFormat="1" applyFont="1"/>
    <xf numFmtId="0" fontId="8" fillId="54" borderId="0" xfId="0" applyFont="1" applyFill="1"/>
    <xf numFmtId="4" fontId="8" fillId="54" borderId="0" xfId="0" applyNumberFormat="1" applyFont="1" applyFill="1"/>
    <xf numFmtId="0" fontId="2" fillId="54" borderId="0" xfId="0" applyFont="1" applyFill="1"/>
    <xf numFmtId="0" fontId="0" fillId="54" borderId="0" xfId="0" quotePrefix="1" applyFill="1"/>
  </cellXfs>
  <cellStyles count="23">
    <cellStyle name="Comma" xfId="1" builtinId="3"/>
    <cellStyle name="Comma 2" xfId="11" xr:uid="{DAE853C7-D5D4-364C-8D23-87C8C32816EB}"/>
    <cellStyle name="Comma 2 2" xfId="6" xr:uid="{00000000-0005-0000-0000-000001000000}"/>
    <cellStyle name="Comma 3" xfId="14" xr:uid="{532EB993-88F8-E749-9050-389BD1FE319C}"/>
    <cellStyle name="Comma 4" xfId="17" xr:uid="{EC9EDCC2-9744-BB4C-849A-F8DCDECCD011}"/>
    <cellStyle name="Currency 3" xfId="16" xr:uid="{858AE742-3A64-F941-896C-1B3BF1594FAE}"/>
    <cellStyle name="Hyperlink" xfId="12" builtinId="8"/>
    <cellStyle name="Hyperlink 2" xfId="7" xr:uid="{00000000-0005-0000-0000-000002000000}"/>
    <cellStyle name="Neutral" xfId="13" builtinId="28"/>
    <cellStyle name="Normal" xfId="0" builtinId="0"/>
    <cellStyle name="Normal 2" xfId="3" xr:uid="{00000000-0005-0000-0000-000004000000}"/>
    <cellStyle name="Normal 2 2" xfId="5" xr:uid="{00000000-0005-0000-0000-000005000000}"/>
    <cellStyle name="Normal 2 3" xfId="8" xr:uid="{D12A27EC-2AB0-D44B-B06E-7FA9AA70FAA7}"/>
    <cellStyle name="Normal 3" xfId="4" xr:uid="{00000000-0005-0000-0000-000006000000}"/>
    <cellStyle name="Normal 4" xfId="9" xr:uid="{A901E758-6B77-D642-AC1A-8F60C1766482}"/>
    <cellStyle name="Normal 5" xfId="10" xr:uid="{B7A7558C-B803-904A-83ED-891720822CFB}"/>
    <cellStyle name="Normal 6" xfId="20" xr:uid="{A025B4A7-F9E4-4246-8CA6-6D2D9976F475}"/>
    <cellStyle name="Normal 7" xfId="21" xr:uid="{F9CB6F07-AFC5-E14C-A9E1-3947B7CF5DE4}"/>
    <cellStyle name="Normal 9" xfId="22" xr:uid="{541AE4A4-593F-5442-9471-537D875441FC}"/>
    <cellStyle name="Per cent" xfId="2" builtinId="5"/>
    <cellStyle name="Percent 2" xfId="15" xr:uid="{99F3CA82-579C-A64E-9DD1-6A2DD6FC7E3D}"/>
    <cellStyle name="Percent 2 2" xfId="19" xr:uid="{7F1EC1DD-0D04-974B-8371-35BB8D4A2617}"/>
    <cellStyle name="Standard 2" xfId="18" xr:uid="{794FB0BC-6A81-E247-81C1-1A4C1BB01C6C}"/>
  </cellStyles>
  <dxfs count="97">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71" formatCode="_(* #,##0.0_);_(* \(#,##0.0\);_(* &quot;-&quot;??_);_(@_)"/>
    </dxf>
    <dxf>
      <numFmt numFmtId="13" formatCode="0%"/>
    </dxf>
    <dxf>
      <numFmt numFmtId="13" formatCode="0%"/>
    </dxf>
    <dxf>
      <numFmt numFmtId="1" formatCode="0"/>
      <border diagonalUp="0" diagonalDown="0">
        <left style="hair">
          <color indexed="64"/>
        </left>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numFmt numFmtId="170" formatCode="0.0"/>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right style="hair">
          <color indexed="64"/>
        </right>
        <top style="hair">
          <color indexed="64"/>
        </top>
        <bottom style="hair">
          <color indexed="64"/>
        </bottom>
        <vertical/>
        <horizontal/>
      </border>
    </dxf>
    <dxf>
      <border outline="0">
        <left style="hair">
          <color indexed="64"/>
        </left>
        <right style="hair">
          <color indexed="64"/>
        </right>
        <top style="thin">
          <color indexed="64"/>
        </top>
        <bottom style="hair">
          <color indexed="64"/>
        </bottom>
      </border>
    </dxf>
    <dxf>
      <border outline="0">
        <bottom style="medium">
          <color indexed="64"/>
        </bottom>
      </border>
    </dxf>
    <dxf>
      <font>
        <b/>
        <i val="0"/>
        <strike val="0"/>
        <condense val="0"/>
        <extend val="0"/>
        <outline val="0"/>
        <shadow val="0"/>
        <u val="none"/>
        <vertAlign val="baseline"/>
        <sz val="11"/>
        <color rgb="FF000000"/>
        <name val="Calibri"/>
        <family val="2"/>
        <scheme val="none"/>
      </font>
      <fill>
        <patternFill patternType="solid">
          <fgColor rgb="FF000000"/>
          <bgColor theme="0" tint="-4.9989318521683403E-2"/>
        </patternFill>
      </fill>
      <alignment horizontal="center" vertical="center" textRotation="0" wrapText="1" indent="0" justifyLastLine="0" shrinkToFit="0" readingOrder="0"/>
      <border diagonalUp="0" diagonalDown="0" outline="0">
        <left style="hair">
          <color indexed="64"/>
        </left>
        <right style="hair">
          <color indexed="64"/>
        </right>
        <top/>
        <bottom/>
      </border>
    </dxf>
    <dxf>
      <numFmt numFmtId="0" formatCode="General"/>
    </dxf>
    <dxf>
      <alignment horizontal="left" vertical="bottom" textRotation="0" wrapText="0" indent="0" justifyLastLine="0" shrinkToFit="0" readingOrder="0"/>
    </dxf>
    <dxf>
      <alignment horizontal="left" vertical="bottom" textRotation="0" wrapText="0" indent="0" justifyLastLine="0" shrinkToFit="0" readingOrder="0"/>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numFmt numFmtId="15" formatCode="0.00E+00"/>
      <fill>
        <patternFill patternType="solid">
          <fgColor indexed="64"/>
          <bgColor theme="3" tint="0.79998168889431442"/>
        </patternFill>
      </fill>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style="hair">
          <color indexed="64"/>
        </left>
        <right style="hair">
          <color indexed="64"/>
        </right>
        <top style="hair">
          <color indexed="64"/>
        </top>
        <bottom style="hair">
          <color indexed="64"/>
        </bottom>
        <vertical/>
        <horizontal/>
      </border>
    </dxf>
    <dxf>
      <border diagonalUp="0" diagonalDown="0">
        <left/>
        <right style="hair">
          <color indexed="64"/>
        </right>
        <top style="hair">
          <color indexed="64"/>
        </top>
        <bottom style="hair">
          <color indexed="64"/>
        </bottom>
        <vertical/>
        <horizontal/>
      </border>
    </dxf>
    <dxf>
      <border outline="0">
        <top style="hair">
          <color indexed="64"/>
        </top>
      </border>
    </dxf>
    <dxf>
      <border outline="0">
        <left style="hair">
          <color indexed="64"/>
        </left>
        <right style="hair">
          <color indexed="64"/>
        </right>
        <top style="hair">
          <color indexed="64"/>
        </top>
        <bottom style="hair">
          <color indexed="64"/>
        </bottom>
      </border>
    </dxf>
    <dxf>
      <fill>
        <patternFill patternType="solid">
          <fgColor indexed="64"/>
          <bgColor theme="3" tint="0.79998168889431442"/>
        </patternFill>
      </fill>
    </dxf>
    <dxf>
      <border outline="0">
        <bottom style="hair">
          <color indexed="64"/>
        </bottom>
      </border>
    </dxf>
    <dxf>
      <font>
        <b/>
        <i val="0"/>
        <strike val="0"/>
        <condense val="0"/>
        <extend val="0"/>
        <outline val="0"/>
        <shadow val="0"/>
        <u val="none"/>
        <vertAlign val="baseline"/>
        <sz val="11"/>
        <color rgb="FFFFFFFF"/>
        <name val="Calibri"/>
        <family val="2"/>
        <scheme val="none"/>
      </font>
      <fill>
        <patternFill patternType="solid">
          <fgColor indexed="64"/>
          <bgColor theme="3"/>
        </patternFill>
      </fill>
      <alignment horizontal="left" vertical="center" textRotation="0" wrapText="1" indent="0" justifyLastLine="0" shrinkToFit="0" readingOrder="0"/>
      <border diagonalUp="0" diagonalDown="0" outline="0">
        <left style="hair">
          <color indexed="64"/>
        </left>
        <right style="hair">
          <color indexed="64"/>
        </right>
        <top/>
        <bottom/>
      </border>
    </dxf>
  </dxfs>
  <tableStyles count="0" defaultTableStyle="TableStyleMedium2" defaultPivotStyle="PivotStyleLight16"/>
  <colors>
    <mruColors>
      <color rgb="FFDF0FBC"/>
      <color rgb="FFFFFE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pivotCacheDefinition" Target="pivotCache/pivotCacheDefinition1.xml"/><Relationship Id="rId21" Type="http://schemas.openxmlformats.org/officeDocument/2006/relationships/worksheet" Target="worksheets/sheet21.xml"/><Relationship Id="rId34" Type="http://schemas.openxmlformats.org/officeDocument/2006/relationships/externalLink" Target="externalLinks/externalLink12.xml"/><Relationship Id="rId42" Type="http://schemas.openxmlformats.org/officeDocument/2006/relationships/theme" Target="theme/theme1.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7.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externalLink" Target="externalLinks/externalLink15.xml"/><Relationship Id="rId40" Type="http://schemas.openxmlformats.org/officeDocument/2006/relationships/pivotCacheDefinition" Target="pivotCache/pivotCacheDefinition2.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 Id="rId43" Type="http://schemas.openxmlformats.org/officeDocument/2006/relationships/styles" Target="styles.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externalLink" Target="externalLinks/externalLink16.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pivotCacheDefinition" Target="pivotCache/pivotCacheDefinition3.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valuingimpact.sharepoint.com/OLA-LN-FS1V/ARWorkings/Usuarios/Farming/Compartido%20Farming/Campa&#241;a%201213/CAMPOS%20VISTOS%20121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wifor.sharepoint.com/CONSO/Septembre%202003/donnees%20de%20gestion/DonneesGestion_sep2003_SG.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wifor.sharepoint.com/CONSO/Projection%202003/P&amp;l.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ifor.sharepoint.com/CONSO/Consolidations/GPSQ/D&#233;cembre2002/TFTC/R&#233;conciliation_TFTC_MAYGP_GPSQ_200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wifor.sharepoint.com/CONSO/Consolidations/D&#233;cembre2004/Rapport/Autres%20informations/cdrrep_mai2004_dynpor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wifor.sharepoint.com/CONSO/budget%202004/DIFFUSION/ENVOI%20MAG%2008%2012/BUDGET%202004%20BOARD.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wifor.sharepoint.com/RPORTING/Reel2001/Flash/022001/Diffusion-InfoGestion/Tr&#233;so/ETATS%20CORPORATE/MAY/ZDGCMA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wifor.sharepoint.com/CONSO/Mars2003/Effectifs/Effectifs_mar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valuingimpact.sharepoint.com/Users/edgar/Library/CloudStorage/Dropbox/PMI/SROI%202022/Waste_Bank_ID/Waste_Bank_ID_SROI_Model_2023-07-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valuingimpact.sharepoint.com/Users/edgar/Dropbox/Living%20wage/Model/LivingWageModel_2020-04-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ifor.sharepoint.com/CONSO/budget%202004/doswt/compte%20de%20resultat/FDV/frais_sur_ventes%20budg.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valuingimpact.sharepoint.com/Users/pedrotagliari/Valuing%20Impact%20Dropbox/Pedro%20Tagliari/2.%20Projects/PMI/PMI%20TNFD%202025/Model/OLDPMI_Materiality_Risk_Assessment_Model_2024-11-1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ifor.sharepoint.com/CONSO/2003/Doswt/analyse/frais_sur_ventes3112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wifor.sharepoint.com/Consopart/D&#233;cembre2005/conso_histo/RAPPORT/cpte%20de%20r&#233;sultat/Dotations_nettes_exploitation_dec05%20PF.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wifor.sharepoint.com/CONSO/2002/Compte%20de%20r&#233;sultat/P&amp;l1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wifor.sharepoint.com/CONSO/Juin2003/Compte_resultat_st&#233;s/Cdrnatnf.X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deGarde"/>
      <sheetName val="Sommaire"/>
      <sheetName val="1.RESULTAT"/>
      <sheetName val="Abrégé_Comp_budget"/>
      <sheetName val="Détail_Comp_budget"/>
      <sheetName val="2.INVESTISSEMENTS"/>
      <sheetName val="Invest par natures"/>
      <sheetName val="Invest par sociétés"/>
      <sheetName val="3.TRESORERIE"/>
      <sheetName val="Tréso MAYGP par natures"/>
      <sheetName val="Tréso graph MAYGP"/>
      <sheetName val="Tréso BI par natures"/>
      <sheetName val="Tréso graph BI"/>
      <sheetName val="4.EFFECTIFS"/>
      <sheetName val="Effectif par fonctions"/>
      <sheetName val="Effectifs par sociétés"/>
      <sheetName val="Effectifs par zones gé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_LANGUE"/>
      <sheetName val="SIG_VOCABLE"/>
      <sheetName val="DETAIL NF"/>
      <sheetName val="ABREGE NF"/>
      <sheetName val="BUDGET03 NF"/>
      <sheetName val="PROJ03 DETAIL AF"/>
      <sheetName val="PROJ03 ABREGE AF"/>
      <sheetName val="AJUST PROJ2003"/>
      <sheetName val="SIG_Module1"/>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atif"/>
      <sheetName val="TFTC  GPSQ à MAYGP"/>
      <sheetName val="IG BFR"/>
      <sheetName val="marges en stocks"/>
      <sheetName val="Passage MAYGP-GPSQ_RESNAT"/>
    </sheetNames>
    <sheetDataSet>
      <sheetData sheetId="0" refreshError="1"/>
      <sheetData sheetId="1" refreshError="1"/>
      <sheetData sheetId="2"/>
      <sheetData sheetId="3" refreshError="1"/>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_LANGUE"/>
      <sheetName val="SIG_VOCABLE"/>
      <sheetName val="RSCDR"/>
      <sheetName val="RSCDR en EUR et à 49%"/>
      <sheetName val="RSCDR en EUR Publié"/>
      <sheetName val="SIG_Module1"/>
    </sheetNames>
    <sheetDataSet>
      <sheetData sheetId="0"/>
      <sheetData sheetId="1"/>
      <sheetData sheetId="2"/>
      <sheetData sheetId="3"/>
      <sheetData sheetId="4"/>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mmaire"/>
      <sheetName val="PdG Résultat"/>
      <sheetName val="CDR agrégé"/>
      <sheetName val="CDR détaillé"/>
      <sheetName val="PdG Effectifs"/>
      <sheetName val="Effectifs par sociétés"/>
      <sheetName val="Effectifs par fonctions"/>
      <sheetName val="Effectifs par zones géo"/>
      <sheetName val="PdG Investissement"/>
      <sheetName val="Investissements par société"/>
      <sheetName val="Investissements par nature"/>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_LANGUE"/>
      <sheetName val="SIG_VOCABLE"/>
      <sheetName val="ZDGCMAY"/>
      <sheetName val="SIG_Module1"/>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THESE N-1"/>
      <sheetName val="SYNTHESE BU"/>
      <sheetName val="Chgt Déf°"/>
      <sheetName val="VENEFFST"/>
      <sheetName val="EFFFCTR"/>
      <sheetName val="Eff Moyen"/>
      <sheetName val="EFFFCEST"/>
      <sheetName val="EFFFCEST (2)"/>
      <sheetName val="EFFSTFCT"/>
      <sheetName val="Synth ZGEO"/>
      <sheetName val="EFFECZGE"/>
      <sheetName val="EFFZGEOR"/>
      <sheetName val="EFFZGEOR et STE"/>
      <sheetName val="SCRAS"/>
      <sheetName val="TABLE ZGEO"/>
      <sheetName val="TABLE ACT"/>
      <sheetName val="Ajust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UMBEO"/>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thèse"/>
      <sheetName val="FDV_par_sociétés"/>
      <sheetName val="FDV_par_natures"/>
      <sheetName val="FDV_variation_CA"/>
      <sheetName val="FDV_par_natures en keur "/>
      <sheetName val="Sheet1"/>
      <sheetName val="Feuil3"/>
      <sheetName val="TOD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UT"/>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thèse"/>
      <sheetName val="FDV_par_sociétés"/>
      <sheetName val="FDV_par_natures"/>
      <sheetName val="FDV_variation_CA"/>
      <sheetName val="FDV_par_natures en keur "/>
      <sheetName val="FDV_sétés sans impact prop"/>
      <sheetName val="FDV_natures ss impact prop"/>
    </sheetNames>
    <sheetDataSet>
      <sheetData sheetId="0"/>
      <sheetData sheetId="1">
        <row r="8">
          <cell r="C8" t="str">
            <v>C.A. Net Social</v>
          </cell>
          <cell r="D8" t="str">
            <v>Frais de Ventes</v>
          </cell>
          <cell r="E8" t="str">
            <v>% CA</v>
          </cell>
          <cell r="G8" t="str">
            <v>C.A. Net Social</v>
          </cell>
          <cell r="H8" t="str">
            <v>Frais de Ventes</v>
          </cell>
          <cell r="I8" t="str">
            <v>% CA</v>
          </cell>
          <cell r="N8" t="str">
            <v>C.A. Net Social</v>
          </cell>
          <cell r="O8" t="str">
            <v>Frais de Ventes</v>
          </cell>
          <cell r="P8" t="str">
            <v>% CA</v>
          </cell>
        </row>
      </sheetData>
      <sheetData sheetId="2"/>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_LANGUE"/>
      <sheetName val="SIG_VOCABLE"/>
      <sheetName val="rapport"/>
      <sheetName val="AMTIFRS en K€"/>
      <sheetName val="AMTIFRS Lasa"/>
      <sheetName val="AMTIFRS"/>
      <sheetName val="SIG_Module1"/>
    </sheetNames>
    <sheetDataSet>
      <sheetData sheetId="0" refreshError="1"/>
      <sheetData sheetId="1" refreshError="1"/>
      <sheetData sheetId="2" refreshError="1"/>
      <sheetData sheetId="3" refreshError="1"/>
      <sheetData sheetId="4" refreshError="1"/>
      <sheetData sheetId="5" refreshError="1">
        <row r="7">
          <cell r="B7" t="str">
            <v>Rubrique</v>
          </cell>
          <cell r="C7" t="str">
            <v>DECEMBRE 2005</v>
          </cell>
          <cell r="D7" t="str">
            <v>DECEMBRE 2004</v>
          </cell>
        </row>
        <row r="9">
          <cell r="B9">
            <v>68111</v>
          </cell>
          <cell r="C9">
            <v>-3368574.88</v>
          </cell>
        </row>
        <row r="10">
          <cell r="B10" t="str">
            <v>68161 / 68751 / 78161 / 78751</v>
          </cell>
        </row>
        <row r="12">
          <cell r="B12">
            <v>68112</v>
          </cell>
        </row>
        <row r="13">
          <cell r="B13" t="str">
            <v>68162 / 68752 / 78162 / 78752</v>
          </cell>
        </row>
        <row r="17">
          <cell r="B17">
            <v>68151</v>
          </cell>
        </row>
        <row r="18">
          <cell r="B18">
            <v>78101</v>
          </cell>
        </row>
        <row r="20">
          <cell r="B20" t="str">
            <v>6812 / 78154</v>
          </cell>
        </row>
        <row r="21">
          <cell r="B21" t="str">
            <v>68152 / 78102</v>
          </cell>
        </row>
        <row r="23">
          <cell r="B23" t="str">
            <v>68632 / 78632</v>
          </cell>
        </row>
        <row r="24">
          <cell r="B24" t="str">
            <v>68638 / 78638</v>
          </cell>
        </row>
        <row r="28">
          <cell r="B28" t="str">
            <v>68153 / 68753 / 78103 / 78753</v>
          </cell>
        </row>
        <row r="29">
          <cell r="B29" t="str">
            <v>68158 / 68758 / 78108 / 78758</v>
          </cell>
          <cell r="D29">
            <v>2678757.09</v>
          </cell>
        </row>
        <row r="32">
          <cell r="B32" t="str">
            <v>6870 / 7870</v>
          </cell>
        </row>
        <row r="33">
          <cell r="B33" t="str">
            <v>T2 / 9901</v>
          </cell>
        </row>
        <row r="37">
          <cell r="B37" t="str">
            <v>68171 / 68771 / 78171 / 78771</v>
          </cell>
        </row>
        <row r="38">
          <cell r="B38" t="str">
            <v>68172 / 68772 / 78172 / 78772</v>
          </cell>
        </row>
        <row r="39">
          <cell r="B39" t="str">
            <v>68173 / 68773 / 78173 / 78773</v>
          </cell>
        </row>
        <row r="42">
          <cell r="B42">
            <v>6804</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_LANGUE"/>
      <sheetName val="SIG_VOCABLE"/>
      <sheetName val="DETAIL NF"/>
      <sheetName val="DETAIL"/>
      <sheetName val="ABREGE"/>
      <sheetName val="IMPORT"/>
      <sheetName val="CDRR"/>
      <sheetName val="SIG_Module1"/>
    </sheetNames>
    <sheetDataSet>
      <sheetData sheetId="0"/>
      <sheetData sheetId="1"/>
      <sheetData sheetId="2"/>
      <sheetData sheetId="3"/>
      <sheetData sheetId="4"/>
      <sheetData sheetId="5"/>
      <sheetData sheetId="6"/>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_LANGUE"/>
      <sheetName val="SIG_VOCABLE"/>
      <sheetName val="ABREGE"/>
      <sheetName val="DETAILLE"/>
      <sheetName val="CDRNATNF"/>
      <sheetName val="SIG_Module1"/>
      <sheetName val="CDR_CONSO_ABREGE"/>
      <sheetName val="CDR_CONSO_DETAILLE"/>
    </sheetNames>
    <sheetDataSet>
      <sheetData sheetId="0"/>
      <sheetData sheetId="1"/>
      <sheetData sheetId="2"/>
      <sheetData sheetId="3"/>
      <sheetData sheetId="4">
        <row r="3">
          <cell r="V3" t="str">
            <v>EUR</v>
          </cell>
        </row>
        <row r="6">
          <cell r="V6" t="str">
            <v>- BUDGET 2003 -</v>
          </cell>
        </row>
        <row r="7">
          <cell r="V7" t="str">
            <v>- RÉEL JUIN 2003 -</v>
          </cell>
        </row>
        <row r="8">
          <cell r="V8" t="str">
            <v xml:space="preserve">JUIN </v>
          </cell>
        </row>
      </sheetData>
      <sheetData sheetId="5" refreshError="1"/>
      <sheetData sheetId="6" refreshError="1"/>
      <sheetData sheetId="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uel Vionnet" refreshedDate="45507.403839467595" createdVersion="8" refreshedVersion="8" minRefreshableVersion="3" recordCount="220" xr:uid="{E1ED975C-25FC-5943-BE38-3AC586EEF1A6}">
  <cacheSource type="worksheet">
    <worksheetSource ref="A1:O1048576" sheet="Wages | VI "/>
  </cacheSource>
  <cacheFields count="10">
    <cacheField name="Country" numFmtId="0">
      <sharedItems containsBlank="1"/>
    </cacheField>
    <cacheField name="Code" numFmtId="0">
      <sharedItems containsBlank="1" count="219">
        <s v="ABW"/>
        <s v="AFG"/>
        <s v="AGO"/>
        <s v="ALB"/>
        <s v="AND"/>
        <s v="ARE"/>
        <s v="ARG"/>
        <s v="ARM"/>
        <s v="ASM"/>
        <s v="ATG"/>
        <s v="AUS"/>
        <s v="AUT"/>
        <s v="AZE"/>
        <s v="BDI"/>
        <s v="BEL"/>
        <s v="BEN"/>
        <s v="BFA"/>
        <s v="BGD"/>
        <s v="BGR"/>
        <s v="BHR"/>
        <s v="BHS"/>
        <s v="BIH"/>
        <s v="BLR"/>
        <s v="BLZ"/>
        <s v="BMU"/>
        <s v="BOL"/>
        <s v="BRA"/>
        <s v="BRB"/>
        <s v="BRN"/>
        <s v="BTN"/>
        <s v="BWA"/>
        <s v="CAF"/>
        <s v="CAN"/>
        <s v="CHE"/>
        <s v="CHI"/>
        <s v="CHL"/>
        <s v="CHN"/>
        <s v="CIV"/>
        <s v="CMR"/>
        <s v="COD"/>
        <s v="COG"/>
        <s v="COL"/>
        <s v="COM"/>
        <s v="CPV"/>
        <s v="CRI"/>
        <s v="CUB"/>
        <s v="CUW"/>
        <s v="CYM"/>
        <s v="CYP"/>
        <s v="CZE"/>
        <s v="DEU"/>
        <s v="DJI"/>
        <s v="DMA"/>
        <s v="DNK"/>
        <s v="DOM"/>
        <s v="DZA"/>
        <s v="ECU"/>
        <s v="EGY"/>
        <s v="ERI"/>
        <s v="ESP"/>
        <s v="EST"/>
        <s v="ETH"/>
        <s v="FIN"/>
        <s v="FJI"/>
        <s v="FRA"/>
        <s v="FRO"/>
        <s v="FSM"/>
        <s v="GAB"/>
        <s v="GBR"/>
        <s v="GEO"/>
        <s v="GHA"/>
        <s v="GIB"/>
        <s v="GIN"/>
        <s v="GMB"/>
        <s v="GNB"/>
        <s v="GNQ"/>
        <s v="GRC"/>
        <s v="GRD"/>
        <s v="GRL"/>
        <s v="GTM"/>
        <s v="GUM"/>
        <s v="GUY"/>
        <s v="HKG"/>
        <s v="HND"/>
        <s v="HRV"/>
        <s v="HTI"/>
        <s v="HUN"/>
        <s v="IDN"/>
        <s v="IMN"/>
        <s v="IND"/>
        <s v="IRL"/>
        <s v="IRN"/>
        <s v="IRQ"/>
        <s v="ISL"/>
        <s v="ISR"/>
        <s v="ITA"/>
        <s v="JAM"/>
        <s v="JOR"/>
        <s v="JPN"/>
        <s v="KAZ"/>
        <s v="KEN"/>
        <s v="KGZ"/>
        <s v="KHM"/>
        <s v="KIR"/>
        <s v="KNA"/>
        <s v="KOR"/>
        <s v="KWT"/>
        <s v="LAO"/>
        <s v="LBN"/>
        <s v="LBR"/>
        <s v="LBY"/>
        <s v="LCA"/>
        <s v="LIE"/>
        <s v="LKA"/>
        <s v="LSO"/>
        <s v="LTU"/>
        <s v="LUX"/>
        <s v="LVA"/>
        <s v="MAC"/>
        <s v="MAF"/>
        <s v="MAR"/>
        <s v="MCO"/>
        <s v="MDA"/>
        <s v="MDG"/>
        <s v="MDV"/>
        <s v="MEX"/>
        <s v="MHL"/>
        <s v="MKD"/>
        <s v="MLI"/>
        <s v="MLT"/>
        <s v="MMR"/>
        <s v="MNE"/>
        <s v="MNG"/>
        <s v="MNP"/>
        <s v="MOZ"/>
        <s v="MRT"/>
        <s v="MUS"/>
        <s v="MWI"/>
        <s v="MYS"/>
        <s v="NAM"/>
        <s v="NCL"/>
        <s v="NER"/>
        <s v="NGA"/>
        <s v="NIC"/>
        <s v="NLD"/>
        <s v="NOR"/>
        <s v="NPL"/>
        <s v="NRU"/>
        <s v="NZL"/>
        <s v="OMN"/>
        <s v="PAK"/>
        <s v="PAN"/>
        <s v="PER"/>
        <s v="PHL"/>
        <s v="PLW"/>
        <s v="PNG"/>
        <s v="POL"/>
        <s v="PRI"/>
        <s v="PRK"/>
        <s v="PRT"/>
        <s v="PRY"/>
        <s v="PSE"/>
        <s v="PYF"/>
        <s v="QAT"/>
        <s v="ROU"/>
        <s v="RUS"/>
        <s v="RWA"/>
        <s v="SAU"/>
        <s v="SDN"/>
        <s v="SEN"/>
        <s v="SGP"/>
        <s v="SLB"/>
        <s v="SLE"/>
        <s v="SLV"/>
        <s v="SMR"/>
        <s v="SOM"/>
        <s v="SRB"/>
        <s v="SSD"/>
        <s v="STP"/>
        <s v="SUR"/>
        <s v="SVK"/>
        <s v="SVN"/>
        <s v="SWE"/>
        <s v="SWZ"/>
        <s v="SXM"/>
        <s v="SYC"/>
        <s v="SYR"/>
        <s v="TCA"/>
        <s v="TCD"/>
        <s v="TGO"/>
        <s v="THA"/>
        <s v="TJK"/>
        <s v="TKM"/>
        <s v="TLS"/>
        <s v="TON"/>
        <s v="TTO"/>
        <s v="TUN"/>
        <s v="TUR"/>
        <s v="TUV"/>
        <s v="TWN"/>
        <s v="TZA"/>
        <s v="UGA"/>
        <s v="UKR"/>
        <s v="URY"/>
        <s v="USA"/>
        <s v="UZB"/>
        <s v="VCT"/>
        <s v="VEN"/>
        <s v="VGB"/>
        <s v="VIR"/>
        <s v="VNM"/>
        <s v="VUT"/>
        <s v="WSM"/>
        <s v="XKX"/>
        <s v="YEM"/>
        <s v="ZAF"/>
        <s v="ZMB"/>
        <s v="ZWE"/>
        <m/>
      </sharedItems>
    </cacheField>
    <cacheField name="Region" numFmtId="0">
      <sharedItems containsBlank="1" count="8">
        <s v="Latin America &amp; Caribbean"/>
        <s v="South Asia"/>
        <s v="Sub-Saharan Africa"/>
        <s v="Europe &amp; Central Asia"/>
        <s v="Middle East &amp; North Africa"/>
        <s v="East Asia &amp; Pacific"/>
        <s v="North America"/>
        <m/>
      </sharedItems>
    </cacheField>
    <cacheField name="Income group" numFmtId="0">
      <sharedItems containsBlank="1" count="5">
        <s v="High income"/>
        <s v="Low income"/>
        <s v="Lower middle income"/>
        <s v="Upper middle income"/>
        <m/>
      </sharedItems>
    </cacheField>
    <cacheField name="ILO link" numFmtId="0">
      <sharedItems containsBlank="1"/>
    </cacheField>
    <cacheField name="GDP World Bank 2022 _x000a_[Current USD]" numFmtId="0">
      <sharedItems containsString="0" containsBlank="1" containsNumber="1" minValue="62280311.585217156" maxValue="27360935000000"/>
    </cacheField>
    <cacheField name="Income % GDP " numFmtId="0">
      <sharedItems containsString="0" containsBlank="1" containsNumber="1" minValue="17.866" maxValue="73.17"/>
    </cacheField>
    <cacheField name="Labour force ('000)" numFmtId="0">
      <sharedItems containsBlank="1" containsMixedTypes="1" containsNumber="1" minValue="0" maxValue="892744867"/>
    </cacheField>
    <cacheField name="Population" numFmtId="0">
      <sharedItems containsBlank="1" containsMixedTypes="1" containsNumber="1" containsInteger="1" minValue="11396" maxValue="1428627663"/>
    </cacheField>
    <cacheField name="Ratio LF over Pop." numFmtId="0">
      <sharedItems containsBlank="1" containsMixedTypes="1" containsNumber="1" minValue="0" maxValue="0.78442581691082813" count="187">
        <n v="0"/>
        <n v="0.38759913800838419"/>
        <n v="0.36689608501641252"/>
        <n v="0.45825252575072301"/>
        <n v="0.68543243080356175"/>
        <n v="0.43306446676672111"/>
        <n v="0.44668147711770928"/>
        <n v="0.53342979995800899"/>
        <n v="0.49595851557385762"/>
        <n v="0.52434381186058898"/>
        <n v="0.4401424841282599"/>
        <n v="0.43401880262684311"/>
        <n v="0.36652773517351783"/>
        <n v="0.35937194718723781"/>
        <n v="0.41929514692910252"/>
        <n v="0.47824309519253927"/>
        <n v="0.57338070808085406"/>
        <n v="0.53472818451451765"/>
        <n v="0.37318178360093596"/>
        <n v="0.53652729806695243"/>
        <n v="0.43043684241694469"/>
        <n v="0.47987043637532711"/>
        <n v="0.46556790879873217"/>
        <n v="0.47667370887851296"/>
        <n v="0.48470385432581592"/>
        <n v="0.51581880108121236"/>
        <n v="0.33991307442204222"/>
        <n v="0.35522492339326606"/>
        <n v="0.5195482125796258"/>
        <n v="0.54363895548647634"/>
        <n v="0.45677116700171339"/>
        <n v="0.52995761715084888"/>
        <n v="0.37953967647355652"/>
        <n v="0.41278952299260857"/>
        <n v="0.34707427957027304"/>
        <n v="0.33035626950447738"/>
        <n v="0.45408811932538723"/>
        <n v="0.26421590536990874"/>
        <n v="0.38146907438097344"/>
        <n v="0.42513408568397065"/>
        <n v="0.46865434240283632"/>
        <n v="0.51804651742565655"/>
        <n v="0.48488575557354219"/>
        <n v="0.5110750455395795"/>
        <n v="0.16808776204466436"/>
        <n v="0.50948503287375635"/>
        <n v="0.44567270241461682"/>
        <n v="0.26235057726922734"/>
        <n v="0.4764837509027276"/>
        <n v="0.28232783962728641"/>
        <n v="0.46009155186491324"/>
        <n v="0.43551588439447664"/>
        <n v="0.50413911212597495"/>
        <n v="0.48314551563510444"/>
        <n v="0.47883589693933126"/>
        <n v="0.40217000836769684"/>
        <n v="0.4256486681564815"/>
        <n v="0.25438553163844835"/>
        <n v="0.49925654079626086"/>
        <n v="0.43676097682910336"/>
        <n v="0.42889600778112713"/>
        <n v="0.30036832198587221"/>
        <n v="0.34330293659404759"/>
        <n v="0.33423886973858813"/>
        <n v="0.32369300283955893"/>
        <n v="0.39659414252666586"/>
        <n v="0.41620264126633855"/>
        <n v="0.44110284443512987"/>
        <n v="0.32708482230075453"/>
        <n v="0.4968188562638679"/>
        <n v="0.41778563116920958"/>
        <n v="0.4410913995227721"/>
        <n v="0.38494601120276606"/>
        <n v="0.52724480890274528"/>
        <n v="0.49477975495429444"/>
        <n v="0.39939911351962915"/>
        <n v="0.49535104160774851"/>
        <n v="0.30053229471024295"/>
        <n v="0.22414499402891785"/>
        <n v="0.5788645638908595"/>
        <n v="0.43301417734763281"/>
        <n v="0.40290462785091896"/>
        <n v="0.52186850214881142"/>
        <n v="0.21968676049668839"/>
        <n v="0.53426473428101562"/>
        <n v="0.45893837785519215"/>
        <n v="0.44558274568646883"/>
        <n v="0.40044875195343305"/>
        <n v="0.54598069328181886"/>
        <n v="0.55905112712129323"/>
        <n v="0.56469072750583116"/>
        <n v="0.40556214078670821"/>
        <n v="0.28499915934072639"/>
        <n v="0.45776579809345497"/>
        <n v="0.28678746410374933"/>
        <n v="0.47797972833973656"/>
        <n v="0.36409823723006174"/>
        <n v="0.36439929309466246"/>
        <n v="0.47172503274605271"/>
        <n v="0.49977721737612596"/>
        <n v="0.47312814897229571"/>
        <n v="0.57525519011231818"/>
        <n v="0.29589242834322232"/>
        <n v="0.78442581691082813"/>
        <n v="0.52484743031085601"/>
        <n v="0.47588237203290651"/>
        <n v="0.45761803392635336"/>
        <n v="0.38924584446845206"/>
        <n v="0.35440914878954605"/>
        <n v="0.55580827432203694"/>
        <n v="0.41002647763705208"/>
        <n v="0.4026454400668813"/>
        <n v="0.39048383840940026"/>
        <n v="0.44383621258885253"/>
        <n v="0.22241027976585992"/>
        <n v="0.45689068634789226"/>
        <n v="0.38938958899780873"/>
        <n v="0.49156657327442121"/>
        <n v="0.30957120574426611"/>
        <n v="0.43204442463412823"/>
        <n v="0.38853559738700932"/>
        <n v="0.33409352099685435"/>
        <n v="0.44745748368831234"/>
        <n v="0.53705935636791224"/>
        <n v="0.52778449172980579"/>
        <n v="0.2604780476882293"/>
        <n v="0.57699888760953144"/>
        <n v="0.49847453116033963"/>
        <n v="0.32379946860734304"/>
        <n v="0.43903083554549638"/>
        <n v="0.52510893817569837"/>
        <n v="0.41854288487364927"/>
        <n v="0.30962200197010259"/>
        <n v="0.54278374989737721"/>
        <n v="0.34171387387566349"/>
        <n v="0.58921887624947178"/>
        <n v="0.47402875240256592"/>
        <n v="0.48276029886985855"/>
        <n v="0.39629879946062252"/>
        <n v="0.75417216734530013"/>
        <n v="0.42843855431579836"/>
        <n v="0.48824058121091635"/>
        <n v="0.32616973965749996"/>
        <n v="0.44181808144290313"/>
        <n v="0.22957977057061066"/>
        <n v="0.29460162415516022"/>
        <n v="0.63166703979512584"/>
        <n v="0.51942982825536776"/>
        <n v="0.32759277029528505"/>
        <n v="0.44047211725537183"/>
        <n v="0.15046787014368113"/>
        <n v="0.49797680198317973"/>
        <n v="0.36039575690423054"/>
        <n v="0.28813000263875449"/>
        <n v="0.37242896899877032"/>
        <n v="0.52267518841066385"/>
        <n v="0.48189334588392158"/>
        <n v="0.51617883613534199"/>
        <n v="0.26229830153037026"/>
        <n v="0.24691401213156969"/>
        <n v="0.32436454466898546"/>
        <n v="0.34444543768524616"/>
        <n v="0.56417984120123243"/>
        <n v="0.2504656233475106"/>
        <n v="0.32257194706077186"/>
        <n v="0.43699750092447903"/>
        <n v="0.351625521720414"/>
        <n v="0.42922737687486445"/>
        <n v="0.29603272613880233"/>
        <n v="0.37506452848451377"/>
        <e v="#VALUE!"/>
        <n v="0.46446286977683571"/>
        <n v="0.38821960023564228"/>
        <n v="0.47511565113179466"/>
        <n v="0.50053602511179263"/>
        <n v="0.3698523062940241"/>
        <n v="0.41555393081155961"/>
        <n v="0.38395437503109353"/>
        <n v="0.36379763406790433"/>
        <n v="0.56240056204671629"/>
        <n v="0.41081287874150701"/>
        <n v="0.31298846129632796"/>
        <n v="0.16844802270044107"/>
        <n v="0.30077227416454955"/>
        <n v="0.33738498601860606"/>
        <n v="0.36534796618518128"/>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uel Vionnet" refreshedDate="45507.413099074074" createdVersion="8" refreshedVersion="8" minRefreshableVersion="3" recordCount="220" xr:uid="{B3C5B468-2C5A-0846-AA63-134D263F8DD0}">
  <cacheSource type="worksheet">
    <worksheetSource ref="C1:T1048576" sheet="Wages | VI "/>
  </cacheSource>
  <cacheFields count="13">
    <cacheField name="Region" numFmtId="0">
      <sharedItems containsBlank="1" count="8">
        <s v="Latin America &amp; Caribbean"/>
        <s v="South Asia"/>
        <s v="Sub-Saharan Africa"/>
        <s v="Europe &amp; Central Asia"/>
        <s v="Middle East &amp; North Africa"/>
        <s v="East Asia &amp; Pacific"/>
        <s v="North America"/>
        <m/>
      </sharedItems>
    </cacheField>
    <cacheField name="Income group" numFmtId="0">
      <sharedItems containsBlank="1" count="5">
        <s v="High income"/>
        <s v="Low income"/>
        <s v="Lower middle income"/>
        <s v="Upper middle income"/>
        <m/>
      </sharedItems>
    </cacheField>
    <cacheField name="ILO link" numFmtId="0">
      <sharedItems containsBlank="1"/>
    </cacheField>
    <cacheField name="GDP World Bank 2022 _x000a_[Current USD]" numFmtId="0">
      <sharedItems containsString="0" containsBlank="1" containsNumber="1" minValue="62280311.585217156" maxValue="27360935000000"/>
    </cacheField>
    <cacheField name="Income % GDP " numFmtId="0">
      <sharedItems containsString="0" containsBlank="1" containsNumber="1" minValue="17.866" maxValue="73.17"/>
    </cacheField>
    <cacheField name="Labour force ('000)" numFmtId="0">
      <sharedItems containsString="0" containsBlank="1" containsNumber="1" minValue="7191" maxValue="892744867"/>
    </cacheField>
    <cacheField name="Population" numFmtId="0">
      <sharedItems containsString="0" containsBlank="1" containsNumber="1" containsInteger="1" minValue="11396" maxValue="1428627663"/>
    </cacheField>
    <cacheField name="Ratio LF over Pop." numFmtId="0">
      <sharedItems containsString="0" containsBlank="1" containsNumber="1" minValue="0.15046787014368113" maxValue="0.78442581691082813"/>
    </cacheField>
    <cacheField name="Q1" numFmtId="0">
      <sharedItems containsBlank="1" containsMixedTypes="1" containsNumber="1" minValue="0.2" maxValue="12.36" count="178">
        <n v="4.05"/>
        <n v="5.26"/>
        <n v="1.43"/>
        <n v="6.36"/>
        <n v="8.4499999999999993"/>
        <n v="9.2200000000000006"/>
        <n v="5.92"/>
        <n v="8.51"/>
        <e v="#N/A"/>
        <n v="7.21"/>
        <n v="7.84"/>
        <n v="12.36"/>
        <n v="3.7"/>
        <n v="8.9600000000000009"/>
        <n v="3.78"/>
        <n v="1.1399999999999999"/>
        <n v="4.0999999999999996"/>
        <n v="5.68"/>
        <n v="6.74"/>
        <n v="3.54"/>
        <n v="6.2"/>
        <n v="8.58"/>
        <n v="3.21"/>
        <n v="5.36"/>
        <n v="4.13"/>
        <n v="3.15"/>
        <n v="2.42"/>
        <n v="8.9499999999999993"/>
        <n v="2.99"/>
        <n v="1.1599999999999999"/>
        <n v="7.34"/>
        <n v="7.45"/>
        <n v="3.85"/>
        <n v="4.7699999999999996"/>
        <n v="3.16"/>
        <n v="1.88"/>
        <n v="2.69"/>
        <n v="1.71"/>
        <n v="2.78"/>
        <n v="1.9"/>
        <n v="2.72"/>
        <n v="4.12"/>
        <n v="5.09"/>
        <n v="10.01"/>
        <n v="7.86"/>
        <n v="4.6900000000000004"/>
        <n v="2.64"/>
        <n v="9.41"/>
        <n v="6"/>
        <n v="7.73"/>
        <n v="4.83"/>
        <n v="8.06"/>
        <n v="3.38"/>
        <n v="6.13"/>
        <n v="8.08"/>
        <n v="4.0199999999999996"/>
        <n v="9.23"/>
        <n v="7.1"/>
        <n v="6.95"/>
        <n v="5.48"/>
        <n v="4.59"/>
        <n v="7.24"/>
        <n v="2.02"/>
        <n v="4.93"/>
        <n v="4.4400000000000004"/>
        <n v="1.82"/>
        <n v="7.2"/>
        <n v="6.5"/>
        <n v="4.51"/>
        <n v="4.21"/>
        <n v="6.3"/>
        <n v="3.74"/>
        <n v="8.02"/>
        <n v="1.98"/>
        <n v="9.4700000000000006"/>
        <n v="6.72"/>
        <n v="3.71"/>
        <n v="8.66"/>
        <n v="5.12"/>
        <n v="5.52"/>
        <n v="9.74"/>
        <n v="5.15"/>
        <n v="5.56"/>
        <n v="4.0599999999999996"/>
        <n v="5.96"/>
        <n v="7.7"/>
        <n v="8.23"/>
        <n v="3.1"/>
        <n v="7.89"/>
        <n v="8.1300000000000008"/>
        <n v="5.0199999999999996"/>
        <n v="6.57"/>
        <n v="3.97"/>
        <n v="5.75"/>
        <n v="3.13"/>
        <n v="4.8499999999999996"/>
        <n v="6.7"/>
        <n v="6.9"/>
        <n v="7"/>
        <n v="7.51"/>
        <n v="5.64"/>
        <n v="8.33"/>
        <n v="2.85"/>
        <n v="5.01"/>
        <n v="6.18"/>
        <n v="6.19"/>
        <n v="5.72"/>
        <n v="8.1199999999999992"/>
        <n v="7.96"/>
        <n v="6.26"/>
        <n v="7.27"/>
        <n v="2.4700000000000002"/>
        <n v="4.1399999999999997"/>
        <n v="5.84"/>
        <n v="3.77"/>
        <n v="5.82"/>
        <n v="2.08"/>
        <n v="4.2699999999999996"/>
        <n v="7.41"/>
        <n v="4"/>
        <n v="8.5399999999999991"/>
        <n v="8.64"/>
        <n v="4.71"/>
        <n v="7.43"/>
        <n v="7.33"/>
        <n v="5.91"/>
        <n v="3.19"/>
        <n v="3.18"/>
        <n v="6.41"/>
        <n v="7.06"/>
        <n v="2.96"/>
        <n v="0.2"/>
        <n v="7.59"/>
        <n v="4.28"/>
        <n v="5.49"/>
        <n v="6.97"/>
        <n v="3.08"/>
        <n v="3.98"/>
        <n v="3.82"/>
        <n v="4.78"/>
        <n v="6.53"/>
        <n v="4.49"/>
        <n v="2.5099999999999998"/>
        <n v="8.3000000000000007"/>
        <n v="1.52"/>
        <n v="3.31"/>
        <n v="1.03"/>
        <n v="9.5500000000000007"/>
        <n v="9.7200000000000006"/>
        <n v="8.2200000000000006"/>
        <n v="1.35"/>
        <n v="7.04"/>
        <n v="7.42"/>
        <n v="3.88"/>
        <n v="2.91"/>
        <n v="6.44"/>
        <n v="5.39"/>
        <n v="8.41"/>
        <n v="5.94"/>
        <n v="5.5"/>
        <n v="6.16"/>
        <n v="5.0999999999999996"/>
        <n v="5.74"/>
        <n v="8.27"/>
        <n v="3.65"/>
        <n v="8.3699999999999992"/>
        <n v="5.69"/>
        <n v="5.14"/>
        <n v="6.37"/>
        <n v="6.22"/>
        <n v="6.51"/>
        <n v="6.98"/>
        <n v="6.42"/>
        <n v="3.76"/>
        <n v="1.56"/>
        <n v="0.93"/>
        <n v="2.97"/>
        <m/>
      </sharedItems>
    </cacheField>
    <cacheField name="Q2" numFmtId="0">
      <sharedItems containsBlank="1" containsMixedTypes="1" containsNumber="1" minValue="0.2" maxValue="15.67"/>
    </cacheField>
    <cacheField name="Q3" numFmtId="0">
      <sharedItems containsBlank="1" containsMixedTypes="1" containsNumber="1" minValue="0.2" maxValue="19.079999999999998"/>
    </cacheField>
    <cacheField name="Q4" numFmtId="0">
      <sharedItems containsBlank="1" containsMixedTypes="1" containsNumber="1" minValue="0.2" maxValue="24.28"/>
    </cacheField>
    <cacheField name="Q5" numFmtId="0">
      <sharedItems containsBlank="1" containsMixedTypes="1" containsNumber="1" minValue="0.2" maxValue="78.2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44776" refreshedDate="46147.995024537035" createdVersion="8" refreshedVersion="8" minRefreshableVersion="3" recordCount="36" xr:uid="{A7C14921-3AAB-4C26-AA87-6345A687A7AD}">
  <cacheSource type="worksheet">
    <worksheetSource ref="A1:AE37" sheet="Model - Social impact"/>
  </cacheSource>
  <cacheFields count="31">
    <cacheField name="Project" numFmtId="0">
      <sharedItems/>
    </cacheField>
    <cacheField name="Year" numFmtId="0">
      <sharedItems containsSemiMixedTypes="0" containsString="0" containsNumber="1" containsInteger="1" minValue="2025" maxValue="2025"/>
    </cacheField>
    <cacheField name="Country" numFmtId="0">
      <sharedItems/>
    </cacheField>
    <cacheField name="Country code" numFmtId="0">
      <sharedItems/>
    </cacheField>
    <cacheField name="Value chain link" numFmtId="0">
      <sharedItems/>
    </cacheField>
    <cacheField name="Activity / Provision" numFmtId="0">
      <sharedItems count="13">
        <s v="Urban green space"/>
        <s v="Community space"/>
        <s v="Food Provision"/>
        <s v="Affordable meals"/>
        <s v="Communal iftar"/>
        <s v="Volunteer labour"/>
        <s v="Cultural events"/>
        <s v="Passport support"/>
        <s v="Legal aid"/>
        <s v="Fines fund"/>
        <s v="Health advice"/>
        <s v="Childcare"/>
        <s v="School visits"/>
      </sharedItems>
    </cacheField>
    <cacheField name="Benefit Description" numFmtId="0">
      <sharedItems count="32">
        <s v="Air purification"/>
        <s v="Carbon sequestration"/>
        <s v="Biodiversity / habitat"/>
        <s v="Noise reduction"/>
        <s v="Pollination"/>
        <s v="Heat relief / microclimate"/>
        <s v="Mental health restoration"/>
        <s v="Loneliness reduction - Regulars"/>
        <s v="Loneliness reduction - Semi Regulars"/>
        <s v="Civic pride - Existence Value"/>
        <s v="Avoided meal cost"/>
        <s v="Malnutrition averted"/>
        <s v="Avoided healthcare costs"/>
        <s v="Affordable meal access"/>
        <s v="Community cohesion - Regulars"/>
        <s v="Community cohesion - Visitors"/>
        <s v="Avoided employment cost"/>
        <s v="Cultural event access"/>
        <s v="Avoided venue hire"/>
        <s v="Avoided legal cost"/>
        <s v="Anxiety reduction"/>
        <s v="Avoided emergency healthcare costs"/>
        <s v="Avoided justice system costs"/>
        <s v="Debt relief"/>
        <s v="Avoided enforcement costs"/>
        <s v="Avoided healthcare cost"/>
        <s v="STI/HIV prevention"/>
        <s v="Avoided childcare cost"/>
        <s v="Parental income enabled"/>
        <s v="Avoided welfare costs"/>
        <s v="Environmental education"/>
        <s v="Pro-environmental behaviour change"/>
      </sharedItems>
    </cacheField>
    <cacheField name="Type of benficiaries" numFmtId="0">
      <sharedItems/>
    </cacheField>
    <cacheField name="Generic pathway (eQALY)" numFmtId="0">
      <sharedItems/>
    </cacheField>
    <cacheField name="Impact category" numFmtId="0">
      <sharedItems/>
    </cacheField>
    <cacheField name="Impact driver" numFmtId="0">
      <sharedItems/>
    </cacheField>
    <cacheField name="Capital" numFmtId="0">
      <sharedItems/>
    </cacheField>
    <cacheField name="Output" numFmtId="169">
      <sharedItems containsSemiMixedTypes="0" containsString="0" containsNumber="1" minValue="7.0000000000000007E-2" maxValue="18909.599999999999"/>
    </cacheField>
    <cacheField name="Output unit" numFmtId="0">
      <sharedItems/>
    </cacheField>
    <cacheField name="Baseline [%]" numFmtId="9">
      <sharedItems containsSemiMixedTypes="0" containsString="0" containsNumber="1" minValue="0.08" maxValue="1"/>
    </cacheField>
    <cacheField name="Drop-off [%]" numFmtId="9">
      <sharedItems containsSemiMixedTypes="0" containsString="0" containsNumber="1" minValue="0.25" maxValue="1"/>
    </cacheField>
    <cacheField name="Attribution [%]" numFmtId="9">
      <sharedItems containsSemiMixedTypes="0" containsString="0" containsNumber="1" minValue="0.4" maxValue="1"/>
    </cacheField>
    <cacheField name="Duration of activity" numFmtId="170">
      <sharedItems containsSemiMixedTypes="0" containsString="0" containsNumber="1" minValue="2.7397260273972603E-3" maxValue="880"/>
    </cacheField>
    <cacheField name="Duration unit" numFmtId="9">
      <sharedItems/>
    </cacheField>
    <cacheField name="Outcome" numFmtId="169">
      <sharedItems containsSemiMixedTypes="0" containsString="0" containsNumber="1" minValue="0.02" maxValue="154285.71428571426"/>
    </cacheField>
    <cacheField name="Outcome unit" numFmtId="0">
      <sharedItems/>
    </cacheField>
    <cacheField name="Footprint" numFmtId="168">
      <sharedItems containsSemiMixedTypes="0" containsString="0" containsNumber="1" minValue="7.1999999999999995E-2" maxValue="52500"/>
    </cacheField>
    <cacheField name="Footprint unit" numFmtId="0">
      <sharedItems/>
    </cacheField>
    <cacheField name="Valuation factor (No eQALY)" numFmtId="189">
      <sharedItems containsSemiMixedTypes="0" containsString="0" containsNumber="1" minValue="1" maxValue="55879.24"/>
    </cacheField>
    <cacheField name="Valuation factor_x000a_unit" numFmtId="0">
      <sharedItems/>
    </cacheField>
    <cacheField name="Societal valuation (No eQALY) impact)" numFmtId="169">
      <sharedItems containsSemiMixedTypes="0" containsString="0" containsNumber="1" minValue="19.801249266507661" maxValue="68172.6728"/>
    </cacheField>
    <cacheField name="Valuation factor (HUI/HUT/DALY)" numFmtId="189">
      <sharedItems containsSemiMixedTypes="0" containsString="0" containsNumber="1" minValue="0.56911995207157595" maxValue="55879.24"/>
    </cacheField>
    <cacheField name="Valuation factor unit" numFmtId="0">
      <sharedItems/>
    </cacheField>
    <cacheField name="Societal valuation (EUR impact, HUI/HUT)" numFmtId="169">
      <sharedItems containsSemiMixedTypes="0" containsString="0" containsNumber="1" minValue="11.269286033512168" maxValue="123624.81710711103"/>
    </cacheField>
    <cacheField name="Societal Value (HUI (HUT)" numFmtId="0">
      <sharedItems containsNonDate="0" containsString="0" containsBlank="1"/>
    </cacheField>
    <cacheField name="Business value (USD economic)" numFmtId="169">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0">
  <r>
    <s v="Aruba"/>
    <x v="0"/>
    <x v="0"/>
    <x v="0"/>
    <s v="Latin America and the Caribbean: High income"/>
    <n v="3544707788.0566425"/>
    <n v="49.5"/>
    <e v="#N/A"/>
    <n v="106277"/>
    <x v="0"/>
  </r>
  <r>
    <s v="Afghanistan"/>
    <x v="1"/>
    <x v="1"/>
    <x v="1"/>
    <m/>
    <n v="14502158192.090395"/>
    <n v="39.456000000000003"/>
    <n v="16372131"/>
    <n v="42239854"/>
    <x v="1"/>
  </r>
  <r>
    <s v="Angola"/>
    <x v="2"/>
    <x v="2"/>
    <x v="2"/>
    <m/>
    <n v="84722957642.375656"/>
    <n v="43.146000000000001"/>
    <n v="17274534"/>
    <n v="36684202"/>
    <x v="2"/>
  </r>
  <r>
    <s v="Albania"/>
    <x v="3"/>
    <x v="3"/>
    <x v="3"/>
    <m/>
    <n v="22977677860.797855"/>
    <n v="47.469000000000001"/>
    <n v="2361935"/>
    <n v="2745972"/>
    <x v="3"/>
  </r>
  <r>
    <s v="Andorra"/>
    <x v="4"/>
    <x v="3"/>
    <x v="0"/>
    <s v="Europe and Central Asia: High income"/>
    <n v="3727673593.0192156"/>
    <n v="57.4"/>
    <e v="#N/A"/>
    <n v="80088"/>
    <x v="0"/>
  </r>
  <r>
    <s v="United Arab Emirates"/>
    <x v="5"/>
    <x v="4"/>
    <x v="0"/>
    <m/>
    <n v="504173451327.43365"/>
    <n v="38.183999999999997"/>
    <n v="9717145"/>
    <n v="9516871"/>
    <x v="4"/>
  </r>
  <r>
    <s v="Argentina"/>
    <x v="6"/>
    <x v="0"/>
    <x v="3"/>
    <m/>
    <n v="640591410663.88342"/>
    <n v="49.491999999999997"/>
    <n v="22480175"/>
    <n v="46654581"/>
    <x v="5"/>
  </r>
  <r>
    <s v="Armenia"/>
    <x v="7"/>
    <x v="3"/>
    <x v="3"/>
    <m/>
    <n v="24212134631.064003"/>
    <n v="53.338999999999999"/>
    <n v="2372511"/>
    <n v="2777970"/>
    <x v="6"/>
  </r>
  <r>
    <s v="American Samoa"/>
    <x v="8"/>
    <x v="5"/>
    <x v="0"/>
    <s v="Asia and the Pacific: High income"/>
    <n v="871000000"/>
    <n v="55.2"/>
    <e v="#N/A"/>
    <n v="43914"/>
    <x v="0"/>
  </r>
  <r>
    <s v="Antigua and Barbuda"/>
    <x v="9"/>
    <x v="0"/>
    <x v="0"/>
    <s v="Latin America and the Caribbean: High income"/>
    <n v="2033085185.185185"/>
    <n v="49.5"/>
    <e v="#N/A"/>
    <n v="94298"/>
    <x v="0"/>
  </r>
  <r>
    <s v="Australia"/>
    <x v="10"/>
    <x v="5"/>
    <x v="0"/>
    <m/>
    <n v="1723827215334.7063"/>
    <n v="53.018999999999998"/>
    <n v="21222759"/>
    <n v="26638544"/>
    <x v="7"/>
  </r>
  <r>
    <s v="Austria"/>
    <x v="11"/>
    <x v="3"/>
    <x v="0"/>
    <m/>
    <n v="516034144115.95032"/>
    <n v="59.561"/>
    <n v="7601773"/>
    <n v="9132383"/>
    <x v="8"/>
  </r>
  <r>
    <s v="Azerbaijan"/>
    <x v="12"/>
    <x v="3"/>
    <x v="3"/>
    <m/>
    <n v="72356176470.588242"/>
    <n v="46.567"/>
    <n v="6928566"/>
    <n v="10112555"/>
    <x v="9"/>
  </r>
  <r>
    <s v="Burundi"/>
    <x v="13"/>
    <x v="2"/>
    <x v="1"/>
    <m/>
    <n v="2642161668.9275384"/>
    <n v="39.593000000000004"/>
    <n v="0"/>
    <n v="13238559"/>
    <x v="10"/>
  </r>
  <r>
    <s v="Belgium"/>
    <x v="14"/>
    <x v="3"/>
    <x v="0"/>
    <m/>
    <n v="632216577075.10925"/>
    <n v="61.088999999999999"/>
    <n v="9591944"/>
    <n v="11822592"/>
    <x v="11"/>
  </r>
  <r>
    <s v="Benin"/>
    <x v="15"/>
    <x v="2"/>
    <x v="2"/>
    <m/>
    <n v="19673284686.002258"/>
    <n v="36.139000000000003"/>
    <n v="7308084"/>
    <n v="13712828"/>
    <x v="12"/>
  </r>
  <r>
    <s v="Burkina Faso"/>
    <x v="16"/>
    <x v="2"/>
    <x v="1"/>
    <m/>
    <n v="20324617838.967648"/>
    <n v="51.396000000000001"/>
    <n v="11630047"/>
    <n v="23251485"/>
    <x v="13"/>
  </r>
  <r>
    <s v="Bangladesh"/>
    <x v="17"/>
    <x v="1"/>
    <x v="2"/>
    <m/>
    <n v="437415331040.99432"/>
    <n v="40.860999999999997"/>
    <n v="120325589"/>
    <n v="172954319"/>
    <x v="14"/>
  </r>
  <r>
    <s v="Bulgaria"/>
    <x v="18"/>
    <x v="3"/>
    <x v="3"/>
    <m/>
    <n v="101584384672.78587"/>
    <n v="51.289000000000001"/>
    <n v="5817468"/>
    <n v="6430370"/>
    <x v="15"/>
  </r>
  <r>
    <s v="Bahrain"/>
    <x v="19"/>
    <x v="4"/>
    <x v="0"/>
    <m/>
    <n v="43205000000"/>
    <n v="28.11"/>
    <e v="#N/A"/>
    <n v="1485509"/>
    <x v="16"/>
  </r>
  <r>
    <s v="Bahamas, The"/>
    <x v="20"/>
    <x v="0"/>
    <x v="0"/>
    <s v="Latin America and the Caribbean: High income"/>
    <n v="14338500000"/>
    <n v="49.5"/>
    <e v="#N/A"/>
    <n v="412623"/>
    <x v="17"/>
  </r>
  <r>
    <s v="Bosnia and Herzegovina"/>
    <x v="21"/>
    <x v="3"/>
    <x v="3"/>
    <m/>
    <n v="27054889362.885204"/>
    <n v="52.302999999999997"/>
    <n v="2899744"/>
    <n v="3210847"/>
    <x v="18"/>
  </r>
  <r>
    <s v="Belarus"/>
    <x v="22"/>
    <x v="3"/>
    <x v="3"/>
    <m/>
    <n v="71857382745.606598"/>
    <n v="48.921999999999997"/>
    <n v="7159530"/>
    <n v="9178298"/>
    <x v="19"/>
  </r>
  <r>
    <s v="Belize"/>
    <x v="23"/>
    <x v="0"/>
    <x v="3"/>
    <m/>
    <n v="3281500000"/>
    <n v="47.396999999999998"/>
    <n v="300465"/>
    <n v="410825"/>
    <x v="20"/>
  </r>
  <r>
    <s v="Bermuda"/>
    <x v="24"/>
    <x v="6"/>
    <x v="0"/>
    <s v="Northern America: High income"/>
    <n v="7827980000"/>
    <n v="58.9"/>
    <e v="#N/A"/>
    <n v="63489"/>
    <x v="0"/>
  </r>
  <r>
    <s v="Bolivia"/>
    <x v="25"/>
    <x v="0"/>
    <x v="2"/>
    <s v="Latin America and the Caribbean: Lower-middle income"/>
    <n v="45849832906.413895"/>
    <n v="53.6"/>
    <e v="#N/A"/>
    <n v="12388571"/>
    <x v="21"/>
  </r>
  <r>
    <s v="Brazil"/>
    <x v="26"/>
    <x v="0"/>
    <x v="3"/>
    <m/>
    <n v="2173665655937.2737"/>
    <n v="57.762999999999998"/>
    <n v="170296550"/>
    <n v="216422446"/>
    <x v="22"/>
  </r>
  <r>
    <s v="Barbados"/>
    <x v="27"/>
    <x v="0"/>
    <x v="0"/>
    <m/>
    <n v="6393564189.6134501"/>
    <n v="58.218000000000004"/>
    <n v="0"/>
    <n v="281995"/>
    <x v="23"/>
  </r>
  <r>
    <s v="Brunei Darussalam"/>
    <x v="28"/>
    <x v="5"/>
    <x v="0"/>
    <m/>
    <n v="15128292953.509842"/>
    <n v="31.777999999999999"/>
    <n v="354002"/>
    <n v="452524"/>
    <x v="24"/>
  </r>
  <r>
    <s v="Bhutan"/>
    <x v="29"/>
    <x v="1"/>
    <x v="2"/>
    <m/>
    <n v="2898227713.2231541"/>
    <n v="45.343000000000004"/>
    <n v="484965"/>
    <n v="787424"/>
    <x v="25"/>
  </r>
  <r>
    <s v="Botswana"/>
    <x v="30"/>
    <x v="2"/>
    <x v="3"/>
    <m/>
    <n v="19395765126.312748"/>
    <n v="41.491999999999997"/>
    <n v="1611892"/>
    <n v="2675352"/>
    <x v="26"/>
  </r>
  <r>
    <s v="Central African Republic"/>
    <x v="31"/>
    <x v="2"/>
    <x v="1"/>
    <m/>
    <n v="2555492085.2483063"/>
    <n v="35.212000000000003"/>
    <e v="#N/A"/>
    <n v="5742315"/>
    <x v="27"/>
  </r>
  <r>
    <s v="Canada"/>
    <x v="32"/>
    <x v="6"/>
    <x v="0"/>
    <m/>
    <n v="2140085567791.4514"/>
    <n v="59.505000000000003"/>
    <n v="31772056"/>
    <n v="40097761"/>
    <x v="28"/>
  </r>
  <r>
    <s v="Switzerland"/>
    <x v="33"/>
    <x v="3"/>
    <x v="0"/>
    <m/>
    <n v="884940402230.40881"/>
    <n v="70.507000000000005"/>
    <n v="7389316"/>
    <n v="8849852"/>
    <x v="29"/>
  </r>
  <r>
    <s v="Channel Islands"/>
    <x v="34"/>
    <x v="3"/>
    <x v="0"/>
    <m/>
    <n v="11228317318.765242"/>
    <n v="56.904000000000003"/>
    <e v="#N/A"/>
    <n v="175346"/>
    <x v="0"/>
  </r>
  <r>
    <s v="Chile"/>
    <x v="35"/>
    <x v="0"/>
    <x v="0"/>
    <m/>
    <n v="335533331669.21912"/>
    <n v="50.375"/>
    <n v="16088198"/>
    <n v="19629590"/>
    <x v="30"/>
  </r>
  <r>
    <s v="China"/>
    <x v="36"/>
    <x v="5"/>
    <x v="3"/>
    <m/>
    <n v="17794781986104.457"/>
    <n v="51.402000000000001"/>
    <n v="0"/>
    <n v="1410710000"/>
    <x v="31"/>
  </r>
  <r>
    <s v="Côte d’Ivoire"/>
    <x v="37"/>
    <x v="2"/>
    <x v="2"/>
    <s v="Sub-Saharan Africa: Lower-middle income"/>
    <n v="78788828906.863449"/>
    <n v="55.4"/>
    <e v="#N/A"/>
    <n v="28873034"/>
    <x v="32"/>
  </r>
  <r>
    <s v="Cameroon"/>
    <x v="38"/>
    <x v="2"/>
    <x v="2"/>
    <m/>
    <n v="47945510090.052856"/>
    <n v="46.167999999999999"/>
    <n v="14700097"/>
    <n v="28647293"/>
    <x v="33"/>
  </r>
  <r>
    <s v="Congo, Dem. Rep."/>
    <x v="39"/>
    <x v="2"/>
    <x v="1"/>
    <s v="Sub-Saharan Africa: Low income"/>
    <n v="66383287002.996895"/>
    <n v="40.200000000000003"/>
    <e v="#N/A"/>
    <n v="102262808"/>
    <x v="34"/>
  </r>
  <r>
    <s v="Congo, Rep."/>
    <x v="40"/>
    <x v="2"/>
    <x v="2"/>
    <s v="Sub-Saharan Africa: Lower-middle income"/>
    <n v="15321055818.326313"/>
    <n v="55.4"/>
    <e v="#N/A"/>
    <n v="6106869"/>
    <x v="35"/>
  </r>
  <r>
    <s v="Colombia"/>
    <x v="41"/>
    <x v="0"/>
    <x v="3"/>
    <m/>
    <n v="363540156234.86835"/>
    <n v="54.655000000000001"/>
    <n v="38996571"/>
    <n v="52085168"/>
    <x v="36"/>
  </r>
  <r>
    <s v="Comoros"/>
    <x v="42"/>
    <x v="2"/>
    <x v="2"/>
    <m/>
    <n v="1352380972.1566217"/>
    <n v="42.185000000000002"/>
    <n v="492982"/>
    <n v="852075"/>
    <x v="37"/>
  </r>
  <r>
    <s v="Cabo Verde"/>
    <x v="43"/>
    <x v="2"/>
    <x v="2"/>
    <m/>
    <n v="2587252076.3055992"/>
    <n v="43.26"/>
    <n v="0"/>
    <n v="598682"/>
    <x v="38"/>
  </r>
  <r>
    <s v="Costa Rica"/>
    <x v="44"/>
    <x v="0"/>
    <x v="3"/>
    <m/>
    <n v="86497941439.017441"/>
    <n v="54.179000000000002"/>
    <n v="4100457.9999999995"/>
    <n v="5212173"/>
    <x v="39"/>
  </r>
  <r>
    <s v="Cuba"/>
    <x v="45"/>
    <x v="0"/>
    <x v="3"/>
    <m/>
    <n v="2558906303.8809776"/>
    <n v="41.923000000000002"/>
    <e v="#N/A"/>
    <n v="11194449"/>
    <x v="40"/>
  </r>
  <r>
    <s v="Curaçao"/>
    <x v="46"/>
    <x v="0"/>
    <x v="0"/>
    <s v="Latin America and the Caribbean: High income"/>
    <n v="3073840325.4328494"/>
    <n v="49.5"/>
    <n v="0"/>
    <n v="147862"/>
    <x v="0"/>
  </r>
  <r>
    <s v="Cayman Islands"/>
    <x v="47"/>
    <x v="0"/>
    <x v="0"/>
    <s v="Latin America and the Caribbean: High income"/>
    <n v="6600844001.5372057"/>
    <n v="49.5"/>
    <e v="#N/A"/>
    <n v="69310"/>
    <x v="0"/>
  </r>
  <r>
    <s v="Cyprus"/>
    <x v="48"/>
    <x v="3"/>
    <x v="0"/>
    <m/>
    <n v="32229622669.195114"/>
    <n v="48.497"/>
    <n v="742506"/>
    <n v="1260138"/>
    <x v="41"/>
  </r>
  <r>
    <s v="Czechia"/>
    <x v="49"/>
    <x v="3"/>
    <x v="0"/>
    <m/>
    <n v="330858339871.6861"/>
    <n v="56.308999999999997"/>
    <n v="8832092"/>
    <n v="10873689"/>
    <x v="42"/>
  </r>
  <r>
    <s v="Germany"/>
    <x v="50"/>
    <x v="3"/>
    <x v="0"/>
    <m/>
    <n v="4456081016705.9609"/>
    <n v="61.37"/>
    <n v="71730448"/>
    <n v="84482267"/>
    <x v="43"/>
  </r>
  <r>
    <s v="Djibouti"/>
    <x v="51"/>
    <x v="4"/>
    <x v="2"/>
    <m/>
    <n v="4098530513.5577674"/>
    <n v="41.298999999999999"/>
    <e v="#N/A"/>
    <n v="1136455"/>
    <x v="44"/>
  </r>
  <r>
    <s v="Dominica"/>
    <x v="52"/>
    <x v="0"/>
    <x v="3"/>
    <s v="Latin America and the Caribbean: Upper-middle income"/>
    <n v="653992592.5925926"/>
    <n v="47.5"/>
    <e v="#N/A"/>
    <n v="73040"/>
    <x v="0"/>
  </r>
  <r>
    <s v="Denmark"/>
    <x v="53"/>
    <x v="3"/>
    <x v="0"/>
    <m/>
    <n v="404198757537.97418"/>
    <n v="57.97"/>
    <n v="4944501"/>
    <n v="5946952"/>
    <x v="45"/>
  </r>
  <r>
    <s v="Dominican Republic"/>
    <x v="54"/>
    <x v="0"/>
    <x v="3"/>
    <m/>
    <n v="121444279313.93079"/>
    <n v="47.381999999999998"/>
    <n v="7845759"/>
    <n v="11332972"/>
    <x v="46"/>
  </r>
  <r>
    <s v="Algeria"/>
    <x v="55"/>
    <x v="4"/>
    <x v="2"/>
    <m/>
    <n v="239899491127.74237"/>
    <n v="35.037999999999997"/>
    <e v="#N/A"/>
    <n v="45606480"/>
    <x v="47"/>
  </r>
  <r>
    <s v="Ecuador"/>
    <x v="56"/>
    <x v="0"/>
    <x v="3"/>
    <m/>
    <n v="118844826000"/>
    <n v="54.978000000000002"/>
    <n v="12858395"/>
    <n v="18190484"/>
    <x v="48"/>
  </r>
  <r>
    <s v="Egypt, Arab Rep."/>
    <x v="57"/>
    <x v="4"/>
    <x v="2"/>
    <s v="Arab States: Lower-middle income"/>
    <n v="395926075163.0058"/>
    <n v="43.8"/>
    <e v="#N/A"/>
    <n v="112716598"/>
    <x v="49"/>
  </r>
  <r>
    <s v="Eritrea"/>
    <x v="58"/>
    <x v="2"/>
    <x v="1"/>
    <m/>
    <n v="3103184101.5135417"/>
    <n v="38.131"/>
    <e v="#N/A"/>
    <n v="3748901"/>
    <x v="50"/>
  </r>
  <r>
    <s v="Spain"/>
    <x v="59"/>
    <x v="3"/>
    <x v="0"/>
    <m/>
    <n v="1580694712515.7141"/>
    <n v="59.088999999999999"/>
    <n v="40449012"/>
    <n v="48373336"/>
    <x v="51"/>
  </r>
  <r>
    <s v="Estonia"/>
    <x v="60"/>
    <x v="3"/>
    <x v="0"/>
    <m/>
    <n v="40744848827.953659"/>
    <n v="56.369"/>
    <n v="1098356"/>
    <n v="1366188"/>
    <x v="52"/>
  </r>
  <r>
    <s v="Ethiopia"/>
    <x v="61"/>
    <x v="2"/>
    <x v="1"/>
    <m/>
    <n v="163697927593.98236"/>
    <n v="40.49"/>
    <n v="56498604"/>
    <n v="126527060"/>
    <x v="53"/>
  </r>
  <r>
    <s v="Finland"/>
    <x v="62"/>
    <x v="3"/>
    <x v="0"/>
    <m/>
    <n v="300187202696.08374"/>
    <n v="55.476999999999997"/>
    <n v="4630184"/>
    <n v="5584264"/>
    <x v="54"/>
  </r>
  <r>
    <s v="Fiji"/>
    <x v="63"/>
    <x v="5"/>
    <x v="3"/>
    <m/>
    <n v="5494797540.7336473"/>
    <n v="42.786000000000001"/>
    <e v="#N/A"/>
    <n v="936375"/>
    <x v="55"/>
  </r>
  <r>
    <s v="France"/>
    <x v="64"/>
    <x v="3"/>
    <x v="0"/>
    <m/>
    <n v="3030904089607.8965"/>
    <n v="59.777999999999999"/>
    <n v="54427495"/>
    <n v="68170228"/>
    <x v="56"/>
  </r>
  <r>
    <s v="Faroe Islands"/>
    <x v="65"/>
    <x v="3"/>
    <x v="0"/>
    <s v="Europe and Central Asia: High income"/>
    <n v="3555929833.0505052"/>
    <n v="57.4"/>
    <e v="#N/A"/>
    <n v="53270"/>
    <x v="0"/>
  </r>
  <r>
    <s v="Micronesia, Fed. Sts."/>
    <x v="66"/>
    <x v="5"/>
    <x v="2"/>
    <s v="Asia and the Pacific: Lower-middle income"/>
    <n v="460000000"/>
    <n v="50.8"/>
    <e v="#N/A"/>
    <n v="115224"/>
    <x v="0"/>
  </r>
  <r>
    <s v="Gabon"/>
    <x v="67"/>
    <x v="2"/>
    <x v="3"/>
    <m/>
    <n v="20516134388.660782"/>
    <n v="26.803999999999998"/>
    <e v="#N/A"/>
    <n v="2436566"/>
    <x v="57"/>
  </r>
  <r>
    <s v="United Kingdom"/>
    <x v="68"/>
    <x v="3"/>
    <x v="0"/>
    <s v="Europe and Central Asia: High income"/>
    <n v="3340032380668.0356"/>
    <n v="57.4"/>
    <e v="#N/A"/>
    <n v="68350000"/>
    <x v="58"/>
  </r>
  <r>
    <s v="Georgia"/>
    <x v="69"/>
    <x v="3"/>
    <x v="3"/>
    <m/>
    <n v="30535530479.022663"/>
    <n v="50.976999999999997"/>
    <n v="2988927"/>
    <n v="3760365"/>
    <x v="59"/>
  </r>
  <r>
    <s v="Ghana"/>
    <x v="70"/>
    <x v="2"/>
    <x v="2"/>
    <m/>
    <n v="76370394412.41626"/>
    <n v="43.444000000000003"/>
    <n v="18929141"/>
    <n v="34121985"/>
    <x v="60"/>
  </r>
  <r>
    <s v="Gibraltar"/>
    <x v="71"/>
    <x v="3"/>
    <x v="0"/>
    <s v="Europe and Central Asia: High income"/>
    <n v="2775798697.4602237"/>
    <n v="57.4"/>
    <e v="#N/A"/>
    <n v="32688"/>
    <x v="0"/>
  </r>
  <r>
    <s v="Guinea"/>
    <x v="72"/>
    <x v="2"/>
    <x v="2"/>
    <m/>
    <n v="23612295818.096096"/>
    <n v="37.432000000000002"/>
    <n v="0"/>
    <n v="14190612"/>
    <x v="61"/>
  </r>
  <r>
    <s v="Gambia, The"/>
    <x v="73"/>
    <x v="2"/>
    <x v="1"/>
    <s v="Sub-Saharan Africa: Low income"/>
    <n v="2339904156.7921438"/>
    <n v="40.200000000000003"/>
    <e v="#N/A"/>
    <n v="2773168"/>
    <x v="62"/>
  </r>
  <r>
    <s v="Guinea-Bissau"/>
    <x v="74"/>
    <x v="2"/>
    <x v="1"/>
    <m/>
    <n v="1966461400.3583264"/>
    <n v="37.752000000000002"/>
    <n v="1133030"/>
    <n v="2150842"/>
    <x v="63"/>
  </r>
  <r>
    <s v="Equatorial Guinea"/>
    <x v="75"/>
    <x v="2"/>
    <x v="3"/>
    <m/>
    <n v="12116922539.411173"/>
    <n v="47.02"/>
    <e v="#N/A"/>
    <n v="1714671"/>
    <x v="64"/>
  </r>
  <r>
    <s v="Greece"/>
    <x v="76"/>
    <x v="3"/>
    <x v="0"/>
    <m/>
    <n v="238206312632.52774"/>
    <n v="57.122999999999998"/>
    <n v="9050160"/>
    <n v="10361295"/>
    <x v="65"/>
  </r>
  <r>
    <s v="Grenada"/>
    <x v="77"/>
    <x v="0"/>
    <x v="3"/>
    <s v="Latin America and the Caribbean: Upper-middle income"/>
    <n v="1320334235.588974"/>
    <n v="47.5"/>
    <n v="0"/>
    <n v="126183"/>
    <x v="0"/>
  </r>
  <r>
    <s v="Greenland"/>
    <x v="78"/>
    <x v="3"/>
    <x v="0"/>
    <s v="Europe and Central Asia: High income"/>
    <n v="11368900000"/>
    <n v="57.4"/>
    <e v="#N/A"/>
    <n v="56865"/>
    <x v="0"/>
  </r>
  <r>
    <s v="Guatemala"/>
    <x v="79"/>
    <x v="0"/>
    <x v="3"/>
    <m/>
    <n v="102050473863.63637"/>
    <n v="47.658999999999999"/>
    <n v="11904298"/>
    <n v="17602431"/>
    <x v="66"/>
  </r>
  <r>
    <s v="Guam"/>
    <x v="80"/>
    <x v="5"/>
    <x v="0"/>
    <m/>
    <n v="6910000000"/>
    <n v="50.542000000000002"/>
    <e v="#N/A"/>
    <n v="172952"/>
    <x v="67"/>
  </r>
  <r>
    <s v="Guyana"/>
    <x v="81"/>
    <x v="0"/>
    <x v="0"/>
    <m/>
    <n v="16786302158.273382"/>
    <n v="58.33"/>
    <n v="0"/>
    <n v="813834"/>
    <x v="68"/>
  </r>
  <r>
    <s v="Hong Kong SAR, China"/>
    <x v="82"/>
    <x v="5"/>
    <x v="0"/>
    <s v="Asia and the Pacific: High income"/>
    <n v="382054574298.52905"/>
    <n v="55.2"/>
    <e v="#N/A"/>
    <n v="7536100"/>
    <x v="69"/>
  </r>
  <r>
    <s v="Honduras"/>
    <x v="83"/>
    <x v="0"/>
    <x v="2"/>
    <m/>
    <n v="34400509852.043648"/>
    <n v="57.195"/>
    <n v="6795513"/>
    <n v="10593798"/>
    <x v="70"/>
  </r>
  <r>
    <s v="Croatia"/>
    <x v="84"/>
    <x v="3"/>
    <x v="0"/>
    <m/>
    <n v="82688842717.392593"/>
    <n v="56.372999999999998"/>
    <n v="3508146"/>
    <n v="3853200"/>
    <x v="71"/>
  </r>
  <r>
    <s v="Haiti"/>
    <x v="85"/>
    <x v="0"/>
    <x v="2"/>
    <m/>
    <n v="19850829757.747147"/>
    <n v="50.552999999999997"/>
    <e v="#N/A"/>
    <n v="11724763"/>
    <x v="72"/>
  </r>
  <r>
    <s v="Hungary"/>
    <x v="86"/>
    <x v="3"/>
    <x v="0"/>
    <m/>
    <n v="212388906458.72394"/>
    <n v="47.131"/>
    <n v="8096039"/>
    <n v="9589872"/>
    <x v="73"/>
  </r>
  <r>
    <s v="Indonesia"/>
    <x v="87"/>
    <x v="5"/>
    <x v="3"/>
    <m/>
    <n v="1371171152331.155"/>
    <n v="58.558999999999997"/>
    <n v="208982234"/>
    <n v="277534122"/>
    <x v="74"/>
  </r>
  <r>
    <s v="Isle of Man"/>
    <x v="88"/>
    <x v="3"/>
    <x v="0"/>
    <s v="Europe and Central Asia: High income"/>
    <n v="18750946600.142254"/>
    <n v="57.4"/>
    <e v="#N/A"/>
    <n v="84710"/>
    <x v="0"/>
  </r>
  <r>
    <s v="India"/>
    <x v="89"/>
    <x v="1"/>
    <x v="2"/>
    <m/>
    <n v="3549918918777.5317"/>
    <n v="56.893000000000001"/>
    <n v="892744867"/>
    <n v="1428627663"/>
    <x v="75"/>
  </r>
  <r>
    <s v="Ireland"/>
    <x v="90"/>
    <x v="3"/>
    <x v="0"/>
    <m/>
    <n v="545629450403.73511"/>
    <n v="30.614999999999998"/>
    <n v="4112814.9999999995"/>
    <n v="5262382"/>
    <x v="76"/>
  </r>
  <r>
    <s v="Iran, Islamic Rep."/>
    <x v="91"/>
    <x v="4"/>
    <x v="2"/>
    <s v="Arab States: Lower-middle income"/>
    <n v="401504514718.7182"/>
    <n v="43.8"/>
    <e v="#N/A"/>
    <n v="89172767"/>
    <x v="77"/>
  </r>
  <r>
    <s v="Iraq"/>
    <x v="92"/>
    <x v="4"/>
    <x v="3"/>
    <m/>
    <n v="250842782139.46417"/>
    <n v="40.344000000000001"/>
    <n v="26091405"/>
    <n v="45504560"/>
    <x v="78"/>
  </r>
  <r>
    <s v="Iceland"/>
    <x v="93"/>
    <x v="3"/>
    <x v="0"/>
    <m/>
    <n v="31020032583.197216"/>
    <n v="62.029000000000003"/>
    <n v="293122"/>
    <n v="393600"/>
    <x v="79"/>
  </r>
  <r>
    <s v="Israel"/>
    <x v="94"/>
    <x v="4"/>
    <x v="0"/>
    <m/>
    <n v="509901495702.10327"/>
    <n v="50.241"/>
    <n v="6691641"/>
    <n v="9756700"/>
    <x v="80"/>
  </r>
  <r>
    <s v="Italy"/>
    <x v="95"/>
    <x v="3"/>
    <x v="0"/>
    <m/>
    <n v="2254851212731.8047"/>
    <n v="58.039000000000001"/>
    <n v="51174601"/>
    <n v="58761146"/>
    <x v="81"/>
  </r>
  <r>
    <s v="Jamaica"/>
    <x v="96"/>
    <x v="0"/>
    <x v="3"/>
    <m/>
    <n v="19423355367.237179"/>
    <n v="53.713999999999999"/>
    <n v="2041780"/>
    <n v="2825544"/>
    <x v="82"/>
  </r>
  <r>
    <s v="Jordan"/>
    <x v="97"/>
    <x v="4"/>
    <x v="2"/>
    <m/>
    <n v="50813642348.674644"/>
    <n v="43.899000000000001"/>
    <n v="7864838"/>
    <n v="11337052"/>
    <x v="83"/>
  </r>
  <r>
    <s v="Japan"/>
    <x v="98"/>
    <x v="5"/>
    <x v="0"/>
    <m/>
    <n v="4212945159781.4028"/>
    <n v="56.329000000000001"/>
    <n v="110380000"/>
    <n v="124516650"/>
    <x v="84"/>
  </r>
  <r>
    <s v="Kazakhstan"/>
    <x v="99"/>
    <x v="3"/>
    <x v="3"/>
    <m/>
    <n v="261421121085.57208"/>
    <n v="41.551000000000002"/>
    <e v="#N/A"/>
    <n v="19900177"/>
    <x v="85"/>
  </r>
  <r>
    <s v="Kenya"/>
    <x v="100"/>
    <x v="2"/>
    <x v="2"/>
    <m/>
    <n v="107440575838.04752"/>
    <n v="36.021000000000001"/>
    <n v="30180251"/>
    <n v="55100586"/>
    <x v="86"/>
  </r>
  <r>
    <s v="Kyrgyz Republic"/>
    <x v="101"/>
    <x v="3"/>
    <x v="2"/>
    <s v="Europe and Central Asia: Upper-middle income"/>
    <n v="13987627908.838139"/>
    <n v="44.3"/>
    <e v="#N/A"/>
    <n v="7100800"/>
    <x v="87"/>
  </r>
  <r>
    <s v="Cambodia"/>
    <x v="102"/>
    <x v="5"/>
    <x v="2"/>
    <m/>
    <n v="31772759998.857128"/>
    <n v="42.314"/>
    <n v="11845765"/>
    <n v="16944826"/>
    <x v="88"/>
  </r>
  <r>
    <s v="Kiribati"/>
    <x v="103"/>
    <x v="5"/>
    <x v="2"/>
    <s v="Asia and the Pacific: Lower-middle income"/>
    <n v="279034355.10842144"/>
    <n v="50.8"/>
    <n v="0"/>
    <n v="133515"/>
    <x v="0"/>
  </r>
  <r>
    <s v="St. Kitts and Nevis"/>
    <x v="104"/>
    <x v="0"/>
    <x v="0"/>
    <s v="Latin America and the Caribbean: High income"/>
    <n v="1077033111.1111109"/>
    <n v="49.5"/>
    <e v="#N/A"/>
    <n v="47755"/>
    <x v="0"/>
  </r>
  <r>
    <s v="Korea, Rep."/>
    <x v="105"/>
    <x v="5"/>
    <x v="0"/>
    <s v="Asia and the Pacific: High income"/>
    <n v="1712792854202.3687"/>
    <n v="55.2"/>
    <e v="#N/A"/>
    <n v="51712619"/>
    <x v="89"/>
  </r>
  <r>
    <s v="Kuwait"/>
    <x v="106"/>
    <x v="4"/>
    <x v="0"/>
    <m/>
    <n v="161772221950.94162"/>
    <n v="37.726999999999997"/>
    <e v="#N/A"/>
    <n v="4310108"/>
    <x v="90"/>
  </r>
  <r>
    <s v="Lao PDR"/>
    <x v="107"/>
    <x v="5"/>
    <x v="2"/>
    <s v="Asia and the Pacific: Lower-middle income"/>
    <n v="15843155731.25518"/>
    <n v="50.8"/>
    <e v="#N/A"/>
    <n v="7633779"/>
    <x v="91"/>
  </r>
  <r>
    <s v="Lebanon"/>
    <x v="108"/>
    <x v="4"/>
    <x v="2"/>
    <m/>
    <n v="17937256175.14098"/>
    <n v="43.677"/>
    <n v="0"/>
    <n v="5353930"/>
    <x v="92"/>
  </r>
  <r>
    <s v="Liberia"/>
    <x v="109"/>
    <x v="2"/>
    <x v="1"/>
    <m/>
    <n v="4332000000"/>
    <n v="39.844999999999999"/>
    <e v="#N/A"/>
    <n v="5418377"/>
    <x v="93"/>
  </r>
  <r>
    <s v="Libya"/>
    <x v="110"/>
    <x v="4"/>
    <x v="3"/>
    <m/>
    <n v="50491722445.777298"/>
    <n v="40.487000000000002"/>
    <e v="#N/A"/>
    <n v="6888388"/>
    <x v="94"/>
  </r>
  <r>
    <s v="St. Lucia"/>
    <x v="111"/>
    <x v="0"/>
    <x v="3"/>
    <s v="Latin America and the Caribbean: Upper-middle income"/>
    <n v="2519925938.5244665"/>
    <n v="47.5"/>
    <e v="#N/A"/>
    <n v="180251"/>
    <x v="95"/>
  </r>
  <r>
    <s v="Liechtenstein"/>
    <x v="112"/>
    <x v="3"/>
    <x v="0"/>
    <s v="Europe and Central Asia: High income"/>
    <n v="7364654515.1398363"/>
    <n v="57.4"/>
    <e v="#N/A"/>
    <n v="39584"/>
    <x v="0"/>
  </r>
  <r>
    <s v="Sri Lanka"/>
    <x v="113"/>
    <x v="1"/>
    <x v="2"/>
    <m/>
    <n v="84356860421.129959"/>
    <n v="37.238"/>
    <n v="17161973"/>
    <n v="22037000"/>
    <x v="96"/>
  </r>
  <r>
    <s v="Lesotho"/>
    <x v="114"/>
    <x v="2"/>
    <x v="2"/>
    <m/>
    <n v="2046039024.4585402"/>
    <n v="55.22"/>
    <n v="0"/>
    <n v="2330318"/>
    <x v="97"/>
  </r>
  <r>
    <s v="Lithuania"/>
    <x v="115"/>
    <x v="3"/>
    <x v="0"/>
    <m/>
    <n v="77836396962.771957"/>
    <n v="52.546999999999997"/>
    <n v="2402387"/>
    <n v="2871897"/>
    <x v="98"/>
  </r>
  <r>
    <s v="Luxembourg"/>
    <x v="116"/>
    <x v="3"/>
    <x v="0"/>
    <m/>
    <n v="85755006123.597595"/>
    <n v="54.78"/>
    <n v="530955"/>
    <n v="668606"/>
    <x v="99"/>
  </r>
  <r>
    <s v="Latvia"/>
    <x v="117"/>
    <x v="3"/>
    <x v="0"/>
    <m/>
    <n v="43627078481.287048"/>
    <n v="57.338999999999999"/>
    <n v="1564247"/>
    <n v="1881750"/>
    <x v="100"/>
  </r>
  <r>
    <s v="Macao SAR, China"/>
    <x v="118"/>
    <x v="5"/>
    <x v="0"/>
    <s v="Asia and the Pacific: High income"/>
    <n v="47061843715.856483"/>
    <n v="55.2"/>
    <e v="#N/A"/>
    <n v="704149"/>
    <x v="101"/>
  </r>
  <r>
    <s v="St. Martin (French part)"/>
    <x v="119"/>
    <x v="0"/>
    <x v="0"/>
    <s v="Latin America and the Caribbean: High income"/>
    <n v="111261882958.4261"/>
    <n v="49.5"/>
    <e v="#N/A"/>
    <n v="32077"/>
    <x v="0"/>
  </r>
  <r>
    <s v="Morocco"/>
    <x v="120"/>
    <x v="4"/>
    <x v="2"/>
    <m/>
    <n v="141109373209.41437"/>
    <n v="43.847000000000001"/>
    <n v="27501964"/>
    <n v="37840044"/>
    <x v="102"/>
  </r>
  <r>
    <s v="Monaco"/>
    <x v="121"/>
    <x v="3"/>
    <x v="0"/>
    <s v="Europe and Central Asia: High income"/>
    <n v="8784002931.6866455"/>
    <n v="57.4"/>
    <e v="#N/A"/>
    <n v="36297"/>
    <x v="0"/>
  </r>
  <r>
    <s v="Moldova"/>
    <x v="122"/>
    <x v="3"/>
    <x v="3"/>
    <s v="Europe and Central Asia: Upper-middle income"/>
    <n v="16539436547.294973"/>
    <n v="44.3"/>
    <e v="#N/A"/>
    <n v="2486891"/>
    <x v="103"/>
  </r>
  <r>
    <s v="Madagascar"/>
    <x v="123"/>
    <x v="2"/>
    <x v="1"/>
    <m/>
    <n v="16031702914.919531"/>
    <n v="39.831000000000003"/>
    <n v="16358586"/>
    <n v="30325732"/>
    <x v="104"/>
  </r>
  <r>
    <s v="Maldives"/>
    <x v="124"/>
    <x v="1"/>
    <x v="3"/>
    <m/>
    <n v="6600000000"/>
    <n v="42.679000000000002"/>
    <n v="0"/>
    <n v="521021"/>
    <x v="105"/>
  </r>
  <r>
    <s v="Mexico"/>
    <x v="125"/>
    <x v="0"/>
    <x v="3"/>
    <m/>
    <n v="1788886821046.8132"/>
    <n v="35.457999999999998"/>
    <n v="99097402"/>
    <n v="128455567"/>
    <x v="106"/>
  </r>
  <r>
    <s v="Marshall Islands"/>
    <x v="126"/>
    <x v="5"/>
    <x v="3"/>
    <s v="Asia and the Pacific: Upper-middle income"/>
    <n v="284000000"/>
    <n v="51.8"/>
    <n v="27965"/>
    <n v="41996"/>
    <x v="0"/>
  </r>
  <r>
    <s v="North Macedonia"/>
    <x v="127"/>
    <x v="3"/>
    <x v="3"/>
    <m/>
    <n v="14761237042.205698"/>
    <n v="44.454000000000001"/>
    <n v="1521038"/>
    <n v="1811980"/>
    <x v="107"/>
  </r>
  <r>
    <s v="Mali"/>
    <x v="128"/>
    <x v="2"/>
    <x v="1"/>
    <m/>
    <n v="20904898296.250145"/>
    <n v="38.020000000000003"/>
    <n v="11389517"/>
    <n v="23293698"/>
    <x v="108"/>
  </r>
  <r>
    <s v="Malta"/>
    <x v="129"/>
    <x v="4"/>
    <x v="0"/>
    <m/>
    <n v="20956999452.431664"/>
    <n v="52.137"/>
    <n v="452605"/>
    <n v="553214"/>
    <x v="109"/>
  </r>
  <r>
    <s v="Myanmar"/>
    <x v="130"/>
    <x v="5"/>
    <x v="2"/>
    <m/>
    <n v="64815031669.095245"/>
    <n v="44.095999999999997"/>
    <n v="0"/>
    <n v="54577997"/>
    <x v="110"/>
  </r>
  <r>
    <s v="Montenegro"/>
    <x v="131"/>
    <x v="3"/>
    <x v="3"/>
    <m/>
    <n v="7404541964.5077915"/>
    <n v="46.494999999999997"/>
    <n v="499790"/>
    <n v="616177"/>
    <x v="111"/>
  </r>
  <r>
    <s v="Mongolia"/>
    <x v="132"/>
    <x v="5"/>
    <x v="2"/>
    <m/>
    <n v="19872180369.627499"/>
    <n v="34.448999999999998"/>
    <n v="2159568"/>
    <n v="3447157"/>
    <x v="112"/>
  </r>
  <r>
    <s v="Northern Mariana Islands"/>
    <x v="133"/>
    <x v="5"/>
    <x v="0"/>
    <s v="Asia and the Pacific: High income"/>
    <n v="12215878032.716585"/>
    <n v="55.2"/>
    <e v="#N/A"/>
    <n v="49796"/>
    <x v="0"/>
  </r>
  <r>
    <s v="Mozambique"/>
    <x v="134"/>
    <x v="2"/>
    <x v="1"/>
    <m/>
    <n v="20624597846.549507"/>
    <n v="52.03"/>
    <e v="#N/A"/>
    <n v="33897354"/>
    <x v="113"/>
  </r>
  <r>
    <s v="Mauritania"/>
    <x v="135"/>
    <x v="2"/>
    <x v="2"/>
    <m/>
    <n v="10452577062.75806"/>
    <n v="38.267000000000003"/>
    <n v="0"/>
    <n v="4862989"/>
    <x v="114"/>
  </r>
  <r>
    <s v="Mauritius"/>
    <x v="136"/>
    <x v="2"/>
    <x v="3"/>
    <m/>
    <n v="14397127281.382942"/>
    <n v="43.795999999999999"/>
    <n v="1011000"/>
    <n v="1261041"/>
    <x v="115"/>
  </r>
  <r>
    <s v="Malawi"/>
    <x v="137"/>
    <x v="2"/>
    <x v="1"/>
    <m/>
    <n v="14084341062.367504"/>
    <n v="36.218000000000004"/>
    <n v="0"/>
    <n v="20931751"/>
    <x v="116"/>
  </r>
  <r>
    <s v="Malaysia"/>
    <x v="138"/>
    <x v="5"/>
    <x v="3"/>
    <m/>
    <n v="399648828546.50427"/>
    <n v="42.582000000000001"/>
    <n v="23132300"/>
    <n v="34308525"/>
    <x v="117"/>
  </r>
  <r>
    <s v="Namibia"/>
    <x v="139"/>
    <x v="2"/>
    <x v="3"/>
    <m/>
    <n v="12351024843.746696"/>
    <n v="51.738"/>
    <e v="#N/A"/>
    <n v="2604172"/>
    <x v="118"/>
  </r>
  <r>
    <s v="New Caledonia"/>
    <x v="140"/>
    <x v="5"/>
    <x v="0"/>
    <m/>
    <n v="9623318718.3145943"/>
    <n v="52.12"/>
    <n v="212050"/>
    <n v="267940"/>
    <x v="119"/>
  </r>
  <r>
    <s v="Niger"/>
    <x v="141"/>
    <x v="2"/>
    <x v="1"/>
    <m/>
    <n v="16819170420.565317"/>
    <n v="27.259"/>
    <n v="11806477"/>
    <n v="27202843"/>
    <x v="120"/>
  </r>
  <r>
    <s v="Nigeria"/>
    <x v="142"/>
    <x v="2"/>
    <x v="2"/>
    <m/>
    <n v="362814951696.07275"/>
    <n v="73.17"/>
    <n v="93378309"/>
    <n v="223804632"/>
    <x v="121"/>
  </r>
  <r>
    <s v="Nicaragua"/>
    <x v="143"/>
    <x v="0"/>
    <x v="2"/>
    <m/>
    <n v="17829215283.799656"/>
    <n v="46.902999999999999"/>
    <e v="#N/A"/>
    <n v="7046310"/>
    <x v="122"/>
  </r>
  <r>
    <s v="Netherlands"/>
    <x v="144"/>
    <x v="3"/>
    <x v="0"/>
    <m/>
    <n v="1118124749886.2942"/>
    <n v="62.497"/>
    <n v="14629484"/>
    <n v="17879488"/>
    <x v="123"/>
  </r>
  <r>
    <s v="Norway"/>
    <x v="145"/>
    <x v="3"/>
    <x v="0"/>
    <m/>
    <n v="485513316503.63043"/>
    <n v="46.526000000000003"/>
    <n v="4501139"/>
    <n v="5519594"/>
    <x v="124"/>
  </r>
  <r>
    <s v="Nepal"/>
    <x v="146"/>
    <x v="1"/>
    <x v="2"/>
    <m/>
    <n v="40908073366.84552"/>
    <n v="44.085000000000001"/>
    <e v="#N/A"/>
    <n v="30896590"/>
    <x v="125"/>
  </r>
  <r>
    <s v="Nauru"/>
    <x v="147"/>
    <x v="5"/>
    <x v="0"/>
    <s v="Asia and the Pacific: High income"/>
    <n v="154127798.19354144"/>
    <n v="55.2"/>
    <n v="7191"/>
    <n v="12780"/>
    <x v="0"/>
  </r>
  <r>
    <s v="New Zealand"/>
    <x v="148"/>
    <x v="5"/>
    <x v="0"/>
    <m/>
    <n v="253465703232.14594"/>
    <n v="54.390999999999998"/>
    <n v="4112600.0000000005"/>
    <n v="5223100"/>
    <x v="126"/>
  </r>
  <r>
    <s v="Oman"/>
    <x v="149"/>
    <x v="4"/>
    <x v="0"/>
    <m/>
    <n v="108192457737.3212"/>
    <n v="38.343000000000004"/>
    <n v="3675176"/>
    <n v="4644384"/>
    <x v="127"/>
  </r>
  <r>
    <s v="Pakistan"/>
    <x v="150"/>
    <x v="1"/>
    <x v="2"/>
    <m/>
    <n v="338368455317.87579"/>
    <n v="46.167999999999999"/>
    <n v="124832819"/>
    <n v="240485658"/>
    <x v="128"/>
  </r>
  <r>
    <s v="Panama"/>
    <x v="151"/>
    <x v="0"/>
    <x v="0"/>
    <m/>
    <n v="83382400000"/>
    <n v="36.896999999999998"/>
    <n v="3406665"/>
    <n v="4468087"/>
    <x v="129"/>
  </r>
  <r>
    <s v="Peru"/>
    <x v="152"/>
    <x v="0"/>
    <x v="3"/>
    <m/>
    <n v="267603248655.25269"/>
    <n v="40.991999999999997"/>
    <n v="24856036"/>
    <n v="34352719"/>
    <x v="130"/>
  </r>
  <r>
    <s v="Philippines"/>
    <x v="153"/>
    <x v="5"/>
    <x v="2"/>
    <m/>
    <n v="437146372729.94244"/>
    <n v="41.215000000000003"/>
    <n v="76596549"/>
    <n v="117337368"/>
    <x v="131"/>
  </r>
  <r>
    <s v="Palau"/>
    <x v="154"/>
    <x v="5"/>
    <x v="3"/>
    <s v="Asia and the Pacific: Upper-middle income"/>
    <n v="263020733.717011"/>
    <n v="51.8"/>
    <n v="0"/>
    <n v="18058"/>
    <x v="0"/>
  </r>
  <r>
    <s v="Papua New Guinea"/>
    <x v="155"/>
    <x v="5"/>
    <x v="2"/>
    <m/>
    <n v="30932496249.791653"/>
    <n v="32.692999999999998"/>
    <n v="7908840"/>
    <n v="10329931"/>
    <x v="132"/>
  </r>
  <r>
    <s v="Poland"/>
    <x v="156"/>
    <x v="3"/>
    <x v="0"/>
    <m/>
    <n v="811229100687.56628"/>
    <n v="47.277999999999999"/>
    <n v="29734152"/>
    <n v="36685849"/>
    <x v="133"/>
  </r>
  <r>
    <s v="Puerto Rico"/>
    <x v="157"/>
    <x v="0"/>
    <x v="0"/>
    <m/>
    <n v="117902300000"/>
    <n v="56.634999999999998"/>
    <e v="#N/A"/>
    <n v="3205691"/>
    <x v="134"/>
  </r>
  <r>
    <s v="Korea, Dem. People's Rep."/>
    <x v="158"/>
    <x v="5"/>
    <x v="1"/>
    <s v="Asia and the Pacific: High income"/>
    <n v="109703658904.99373"/>
    <n v="55.2"/>
    <e v="#N/A"/>
    <n v="26160821"/>
    <x v="135"/>
  </r>
  <r>
    <s v="Portugal"/>
    <x v="159"/>
    <x v="3"/>
    <x v="0"/>
    <m/>
    <n v="287080013574.49719"/>
    <n v="57.792000000000002"/>
    <n v="8909781"/>
    <n v="10525347"/>
    <x v="136"/>
  </r>
  <r>
    <s v="Paraguay"/>
    <x v="160"/>
    <x v="0"/>
    <x v="3"/>
    <m/>
    <n v="42956263543.948166"/>
    <n v="43.396999999999998"/>
    <n v="5291004"/>
    <n v="6861524"/>
    <x v="137"/>
  </r>
  <r>
    <s v="West Bank and Gaza"/>
    <x v="161"/>
    <x v="4"/>
    <x v="3"/>
    <s v="Arab States: Upper-middle income"/>
    <n v="17396300000"/>
    <n v="40.700000000000003"/>
    <e v="#N/A"/>
    <n v="5165775"/>
    <x v="0"/>
  </r>
  <r>
    <s v="French Polynesia"/>
    <x v="162"/>
    <x v="5"/>
    <x v="0"/>
    <m/>
    <n v="5814661208.9054441"/>
    <n v="50.914000000000001"/>
    <e v="#N/A"/>
    <n v="308872"/>
    <x v="138"/>
  </r>
  <r>
    <s v="Qatar"/>
    <x v="163"/>
    <x v="4"/>
    <x v="0"/>
    <m/>
    <n v="235770403734.89999"/>
    <n v="27.395"/>
    <n v="2439347"/>
    <n v="2716391"/>
    <x v="139"/>
  </r>
  <r>
    <s v="Romania"/>
    <x v="164"/>
    <x v="3"/>
    <x v="0"/>
    <m/>
    <n v="351002579629.6701"/>
    <n v="41.421999999999997"/>
    <n v="15957306"/>
    <n v="19056116"/>
    <x v="140"/>
  </r>
  <r>
    <s v="Russian Federation"/>
    <x v="165"/>
    <x v="3"/>
    <x v="3"/>
    <m/>
    <n v="2021421476035.417"/>
    <n v="51.222000000000001"/>
    <n v="120283303"/>
    <n v="143826130"/>
    <x v="141"/>
  </r>
  <r>
    <s v="Rwanda"/>
    <x v="166"/>
    <x v="2"/>
    <x v="1"/>
    <m/>
    <n v="14097768647.669519"/>
    <n v="38.146000000000001"/>
    <n v="8296027"/>
    <n v="14094683"/>
    <x v="142"/>
  </r>
  <r>
    <s v="Saudi Arabia"/>
    <x v="167"/>
    <x v="4"/>
    <x v="0"/>
    <m/>
    <n v="1067582933333.3334"/>
    <n v="30.128"/>
    <e v="#N/A"/>
    <n v="36947025"/>
    <x v="143"/>
  </r>
  <r>
    <s v="Sudan"/>
    <x v="168"/>
    <x v="2"/>
    <x v="1"/>
    <m/>
    <n v="109327023588.73239"/>
    <n v="37.470999999999997"/>
    <n v="25873230"/>
    <n v="48109006"/>
    <x v="144"/>
  </r>
  <r>
    <s v="Senegal"/>
    <x v="169"/>
    <x v="2"/>
    <x v="2"/>
    <m/>
    <n v="31013986429.186058"/>
    <n v="43.664999999999999"/>
    <n v="10857311"/>
    <n v="17763163"/>
    <x v="145"/>
  </r>
  <r>
    <s v="Singapore"/>
    <x v="170"/>
    <x v="5"/>
    <x v="0"/>
    <m/>
    <n v="501427500080.05853"/>
    <n v="44.305"/>
    <n v="3484120"/>
    <n v="5917648"/>
    <x v="146"/>
  </r>
  <r>
    <s v="Solomon Islands"/>
    <x v="171"/>
    <x v="5"/>
    <x v="2"/>
    <m/>
    <n v="1631286701.1151562"/>
    <n v="43.356999999999999"/>
    <e v="#N/A"/>
    <n v="740424"/>
    <x v="147"/>
  </r>
  <r>
    <s v="Sierra Leone"/>
    <x v="172"/>
    <x v="2"/>
    <x v="1"/>
    <m/>
    <n v="3809832236.9595933"/>
    <n v="40.393000000000001"/>
    <e v="#N/A"/>
    <n v="8791092"/>
    <x v="148"/>
  </r>
  <r>
    <s v="El Salvador"/>
    <x v="173"/>
    <x v="0"/>
    <x v="3"/>
    <m/>
    <n v="34015620000.000004"/>
    <n v="52.292999999999999"/>
    <n v="4875200"/>
    <n v="6364943"/>
    <x v="149"/>
  </r>
  <r>
    <s v="San Marino"/>
    <x v="174"/>
    <x v="3"/>
    <x v="0"/>
    <s v="Europe and Central Asia: High income"/>
    <n v="85584105993.874588"/>
    <n v="57.4"/>
    <n v="23014"/>
    <n v="33642"/>
    <x v="0"/>
  </r>
  <r>
    <s v="Somalia"/>
    <x v="175"/>
    <x v="2"/>
    <x v="1"/>
    <m/>
    <n v="11679800110.152267"/>
    <n v="35.067999999999998"/>
    <n v="0"/>
    <n v="18143378"/>
    <x v="150"/>
  </r>
  <r>
    <s v="Serbia"/>
    <x v="176"/>
    <x v="3"/>
    <x v="3"/>
    <m/>
    <n v="75187125426.737549"/>
    <n v="52.329000000000001"/>
    <n v="5699357"/>
    <n v="6618026"/>
    <x v="151"/>
  </r>
  <r>
    <s v="South Sudan"/>
    <x v="177"/>
    <x v="2"/>
    <x v="1"/>
    <m/>
    <n v="649206262.8475188"/>
    <n v="40.5"/>
    <e v="#N/A"/>
    <n v="11088796"/>
    <x v="152"/>
  </r>
  <r>
    <s v="São Tomé and Príncipe"/>
    <x v="178"/>
    <x v="2"/>
    <x v="2"/>
    <s v="Sub-Saharan Africa: Lower-middle income"/>
    <n v="603240748.95420671"/>
    <n v="55.4"/>
    <e v="#N/A"/>
    <n v="231856"/>
    <x v="153"/>
  </r>
  <r>
    <s v="Suriname"/>
    <x v="179"/>
    <x v="0"/>
    <x v="3"/>
    <m/>
    <n v="3782437296.0432286"/>
    <n v="49.323"/>
    <e v="#N/A"/>
    <n v="623236"/>
    <x v="154"/>
  </r>
  <r>
    <s v="Slovak Republic"/>
    <x v="180"/>
    <x v="3"/>
    <x v="0"/>
    <s v="Europe and Central Asia: High income"/>
    <n v="132793622283.07097"/>
    <n v="57.4"/>
    <e v="#N/A"/>
    <n v="5426740"/>
    <x v="155"/>
  </r>
  <r>
    <s v="Slovenia"/>
    <x v="181"/>
    <x v="3"/>
    <x v="0"/>
    <m/>
    <n v="68216781410.522774"/>
    <n v="59.841000000000001"/>
    <n v="1742939"/>
    <n v="2120937"/>
    <x v="156"/>
  </r>
  <r>
    <s v="Sweden"/>
    <x v="182"/>
    <x v="3"/>
    <x v="0"/>
    <m/>
    <n v="593267701033.4082"/>
    <n v="53.655000000000001"/>
    <n v="8464014"/>
    <n v="10536632"/>
    <x v="157"/>
  </r>
  <r>
    <s v="Eswatini"/>
    <x v="183"/>
    <x v="2"/>
    <x v="2"/>
    <m/>
    <n v="4597855845.042758"/>
    <n v="42.572000000000003"/>
    <n v="790862"/>
    <n v="1210822"/>
    <x v="158"/>
  </r>
  <r>
    <s v="Sint Maarten (Dutch part)"/>
    <x v="184"/>
    <x v="0"/>
    <x v="0"/>
    <s v="Latin America and the Caribbean: High income"/>
    <n v="1623165683.1284916"/>
    <n v="49.5"/>
    <e v="#N/A"/>
    <n v="41163"/>
    <x v="0"/>
  </r>
  <r>
    <s v="Seychelles"/>
    <x v="185"/>
    <x v="2"/>
    <x v="0"/>
    <s v="Sub-Saharan Africa: Low income"/>
    <n v="2141450171.1393213"/>
    <n v="40.200000000000003"/>
    <n v="0"/>
    <n v="119773"/>
    <x v="0"/>
  </r>
  <r>
    <s v="Syrian Arab Republic"/>
    <x v="186"/>
    <x v="4"/>
    <x v="1"/>
    <m/>
    <n v="19309463508.037678"/>
    <n v="34.847999999999999"/>
    <e v="#N/A"/>
    <n v="23227014"/>
    <x v="159"/>
  </r>
  <r>
    <s v="Turks and Caicos Islands"/>
    <x v="187"/>
    <x v="0"/>
    <x v="0"/>
    <s v="Latin America and the Caribbean: High income"/>
    <n v="1402054390.94734"/>
    <n v="49.5"/>
    <e v="#N/A"/>
    <n v="46062"/>
    <x v="0"/>
  </r>
  <r>
    <s v="Chad"/>
    <x v="188"/>
    <x v="2"/>
    <x v="1"/>
    <m/>
    <n v="13149325358.73826"/>
    <n v="42.012"/>
    <e v="#N/A"/>
    <n v="18278568"/>
    <x v="160"/>
  </r>
  <r>
    <s v="Togo"/>
    <x v="189"/>
    <x v="2"/>
    <x v="1"/>
    <m/>
    <n v="9171261835.0626411"/>
    <n v="36.761000000000003"/>
    <n v="4859735"/>
    <n v="9053799"/>
    <x v="161"/>
  </r>
  <r>
    <s v="Thailand"/>
    <x v="190"/>
    <x v="5"/>
    <x v="3"/>
    <m/>
    <n v="514944993833.57758"/>
    <n v="47.616"/>
    <n v="58623726"/>
    <n v="71801279"/>
    <x v="162"/>
  </r>
  <r>
    <s v="Tajikistan"/>
    <x v="191"/>
    <x v="3"/>
    <x v="2"/>
    <m/>
    <n v="12060602008.847782"/>
    <n v="17.866"/>
    <e v="#N/A"/>
    <n v="10143543"/>
    <x v="163"/>
  </r>
  <r>
    <s v="Turkmenistan"/>
    <x v="192"/>
    <x v="3"/>
    <x v="3"/>
    <m/>
    <n v="59887334844.06514"/>
    <n v="46.814999999999998"/>
    <e v="#N/A"/>
    <n v="6516100"/>
    <x v="164"/>
  </r>
  <r>
    <s v="Timor-Leste"/>
    <x v="193"/>
    <x v="5"/>
    <x v="2"/>
    <m/>
    <n v="2243142908.4616103"/>
    <n v="19.538"/>
    <n v="873931"/>
    <n v="1360596"/>
    <x v="165"/>
  </r>
  <r>
    <s v="Tonga"/>
    <x v="194"/>
    <x v="5"/>
    <x v="3"/>
    <m/>
    <n v="500274898.08522147"/>
    <n v="42.84"/>
    <n v="64858.999999999993"/>
    <n v="107773"/>
    <x v="166"/>
  </r>
  <r>
    <s v="Trinidad and Tobago"/>
    <x v="195"/>
    <x v="0"/>
    <x v="0"/>
    <m/>
    <n v="28139944790.291103"/>
    <n v="44.838000000000001"/>
    <n v="1081704"/>
    <n v="1534937"/>
    <x v="167"/>
  </r>
  <r>
    <s v="Tunisia"/>
    <x v="196"/>
    <x v="4"/>
    <x v="2"/>
    <m/>
    <n v="48529595416.653259"/>
    <n v="48.784999999999997"/>
    <n v="8876668"/>
    <n v="12458223"/>
    <x v="168"/>
  </r>
  <r>
    <s v="Türkiye"/>
    <x v="197"/>
    <x v="3"/>
    <x v="3"/>
    <m/>
    <n v="1108022373259.511"/>
    <n v="32.204999999999998"/>
    <n v="64678323"/>
    <n v="85326000"/>
    <x v="169"/>
  </r>
  <r>
    <s v="Tuvalu"/>
    <x v="198"/>
    <x v="5"/>
    <x v="3"/>
    <s v="Asia and the Pacific: Upper-middle income"/>
    <n v="62280311.585217156"/>
    <n v="51.8"/>
    <n v="7246"/>
    <n v="11396"/>
    <x v="0"/>
  </r>
  <r>
    <s v="Taiwan, China"/>
    <x v="199"/>
    <x v="5"/>
    <x v="0"/>
    <m/>
    <n v="14915002436.069025"/>
    <n v="51.856000000000002"/>
    <n v="0"/>
    <e v="#N/A"/>
    <x v="170"/>
  </r>
  <r>
    <s v="Tanzania"/>
    <x v="200"/>
    <x v="2"/>
    <x v="2"/>
    <s v="Sub-Saharan Africa: Lower-middle income"/>
    <n v="79158286333.523987"/>
    <n v="55.4"/>
    <e v="#N/A"/>
    <n v="67438106"/>
    <x v="171"/>
  </r>
  <r>
    <s v="Uganda"/>
    <x v="201"/>
    <x v="2"/>
    <x v="1"/>
    <m/>
    <n v="49272882213.623001"/>
    <n v="39.256999999999998"/>
    <n v="23449350"/>
    <n v="48582334"/>
    <x v="172"/>
  </r>
  <r>
    <s v="Ukraine"/>
    <x v="202"/>
    <x v="3"/>
    <x v="2"/>
    <m/>
    <n v="178757021386.80896"/>
    <n v="48.555999999999997"/>
    <n v="31854521"/>
    <n v="37000000"/>
    <x v="0"/>
  </r>
  <r>
    <s v="Uruguay"/>
    <x v="203"/>
    <x v="0"/>
    <x v="0"/>
    <m/>
    <n v="77240831587.166962"/>
    <n v="55.393000000000001"/>
    <n v="2857369"/>
    <n v="3423108"/>
    <x v="173"/>
  </r>
  <r>
    <s v="United States"/>
    <x v="204"/>
    <x v="6"/>
    <x v="0"/>
    <s v="United States of America"/>
    <n v="27360935000000"/>
    <n v="58.823999999999998"/>
    <e v="#N/A"/>
    <n v="334914895"/>
    <x v="174"/>
  </r>
  <r>
    <s v="Uzbekistan"/>
    <x v="205"/>
    <x v="3"/>
    <x v="2"/>
    <m/>
    <n v="90889149306.731262"/>
    <n v="46.069000000000003"/>
    <n v="0"/>
    <n v="36412350"/>
    <x v="175"/>
  </r>
  <r>
    <s v="St. Vincent and the Grenadines"/>
    <x v="206"/>
    <x v="0"/>
    <x v="3"/>
    <s v="Latin America and the Caribbean: Upper-middle income"/>
    <n v="1065962962.9629629"/>
    <n v="47.5"/>
    <e v="#N/A"/>
    <n v="103698"/>
    <x v="176"/>
  </r>
  <r>
    <s v="Venezuela, RB"/>
    <x v="207"/>
    <x v="0"/>
    <x v="2"/>
    <s v="Latin America and the Caribbean: Lower-middle income"/>
    <n v="88191977373.211975"/>
    <n v="53.6"/>
    <e v="#N/A"/>
    <n v="28838499"/>
    <x v="177"/>
  </r>
  <r>
    <s v="British Virgin Islands"/>
    <x v="208"/>
    <x v="0"/>
    <x v="0"/>
    <s v="Latin America and the Caribbean: High income"/>
    <n v="348516647445.14844"/>
    <n v="49.5"/>
    <e v="#N/A"/>
    <n v="31538"/>
    <x v="0"/>
  </r>
  <r>
    <s v="Virgin Islands (U.S.)"/>
    <x v="209"/>
    <x v="0"/>
    <x v="0"/>
    <s v="Latin America and the Caribbean: High income"/>
    <n v="67406738100"/>
    <n v="49.5"/>
    <e v="#N/A"/>
    <n v="104917"/>
    <x v="178"/>
  </r>
  <r>
    <s v="Vietnam"/>
    <x v="210"/>
    <x v="5"/>
    <x v="2"/>
    <s v="Asia and the Pacific: Lower-middle income"/>
    <n v="429716969049.59277"/>
    <n v="50.8"/>
    <e v="#N/A"/>
    <n v="98858950"/>
    <x v="179"/>
  </r>
  <r>
    <s v="Vanuatu"/>
    <x v="211"/>
    <x v="5"/>
    <x v="2"/>
    <m/>
    <n v="1126313359.2192256"/>
    <n v="59.654000000000003"/>
    <n v="0"/>
    <n v="334506"/>
    <x v="180"/>
  </r>
  <r>
    <s v="Samoa"/>
    <x v="212"/>
    <x v="5"/>
    <x v="2"/>
    <m/>
    <n v="934100336.27565384"/>
    <n v="41.101999999999997"/>
    <n v="127758"/>
    <n v="225681"/>
    <x v="181"/>
  </r>
  <r>
    <s v="Kosovo"/>
    <x v="213"/>
    <x v="3"/>
    <x v="3"/>
    <s v="Europe and Central Asia: Upper-middle income"/>
    <n v="10438351483.167696"/>
    <n v="44.3"/>
    <n v="1388638"/>
    <n v="1756374"/>
    <x v="0"/>
  </r>
  <r>
    <s v="Yemen, Rep."/>
    <x v="214"/>
    <x v="4"/>
    <x v="1"/>
    <s v="Arab States: Low income"/>
    <n v="681346077608.6073"/>
    <n v="35"/>
    <e v="#N/A"/>
    <n v="34449825"/>
    <x v="182"/>
  </r>
  <r>
    <s v="South Africa"/>
    <x v="215"/>
    <x v="2"/>
    <x v="3"/>
    <m/>
    <n v="377781600985.87311"/>
    <n v="58.639000000000003"/>
    <n v="44077580"/>
    <n v="60414495"/>
    <x v="183"/>
  </r>
  <r>
    <s v="Zambia"/>
    <x v="216"/>
    <x v="2"/>
    <x v="2"/>
    <m/>
    <n v="28162630953.928501"/>
    <n v="33.786999999999999"/>
    <n v="10377385"/>
    <n v="20569737"/>
    <x v="184"/>
  </r>
  <r>
    <s v="Zimbabwe"/>
    <x v="217"/>
    <x v="2"/>
    <x v="2"/>
    <m/>
    <n v="26538273498.846142"/>
    <n v="52.637"/>
    <n v="9208500"/>
    <n v="16665409"/>
    <x v="185"/>
  </r>
  <r>
    <m/>
    <x v="218"/>
    <x v="7"/>
    <x v="4"/>
    <m/>
    <m/>
    <m/>
    <m/>
    <m/>
    <x v="186"/>
  </r>
  <r>
    <m/>
    <x v="218"/>
    <x v="7"/>
    <x v="4"/>
    <m/>
    <m/>
    <m/>
    <m/>
    <m/>
    <x v="18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0">
  <r>
    <x v="0"/>
    <x v="0"/>
    <s v="Latin America and the Caribbean: High income"/>
    <n v="3544707788.0566425"/>
    <n v="49.5"/>
    <n v="45630.003556813601"/>
    <n v="106277"/>
    <n v="0.42934975165664818"/>
    <x v="0"/>
    <n v="8.52"/>
    <n v="13.03"/>
    <n v="20.2"/>
    <n v="54.21"/>
  </r>
  <r>
    <x v="1"/>
    <x v="1"/>
    <m/>
    <n v="14502158192.090395"/>
    <n v="39.456000000000003"/>
    <n v="16372131"/>
    <n v="42239854"/>
    <n v="0.38759913800838419"/>
    <x v="1"/>
    <n v="9.41"/>
    <n v="13.07"/>
    <n v="20.71"/>
    <n v="51.56"/>
  </r>
  <r>
    <x v="2"/>
    <x v="2"/>
    <m/>
    <n v="84722957642.375656"/>
    <n v="43.146000000000001"/>
    <n v="17274534"/>
    <n v="36684202"/>
    <n v="0.36689608501641252"/>
    <x v="2"/>
    <n v="5.2"/>
    <n v="9.9600000000000009"/>
    <n v="17.989999999999998"/>
    <n v="65.44"/>
  </r>
  <r>
    <x v="3"/>
    <x v="3"/>
    <m/>
    <n v="22977677860.797855"/>
    <n v="47.469000000000001"/>
    <n v="2361935"/>
    <n v="2745972"/>
    <n v="0.45825252575072301"/>
    <x v="3"/>
    <n v="12.07"/>
    <n v="16.829999999999998"/>
    <n v="23.36"/>
    <n v="41.38"/>
  </r>
  <r>
    <x v="3"/>
    <x v="0"/>
    <s v="Europe and Central Asia: High income"/>
    <n v="3727673593.0192156"/>
    <n v="57.4"/>
    <n v="47189.361361067698"/>
    <n v="80088"/>
    <n v="0.58921887624947178"/>
    <x v="4"/>
    <n v="12.75"/>
    <n v="16.57"/>
    <n v="22.41"/>
    <n v="39.82"/>
  </r>
  <r>
    <x v="4"/>
    <x v="0"/>
    <m/>
    <n v="504173451327.43365"/>
    <n v="38.183999999999997"/>
    <n v="9717145"/>
    <n v="9516871"/>
    <n v="0.68543243080356175"/>
    <x v="5"/>
    <n v="13.75"/>
    <n v="18.34"/>
    <n v="23.88"/>
    <n v="34.81"/>
  </r>
  <r>
    <x v="0"/>
    <x v="3"/>
    <m/>
    <n v="640591410663.88342"/>
    <n v="49.491999999999997"/>
    <n v="22480175"/>
    <n v="46654581"/>
    <n v="0.43306446676672111"/>
    <x v="6"/>
    <n v="10.72"/>
    <n v="14.93"/>
    <n v="21.74"/>
    <n v="46.69"/>
  </r>
  <r>
    <x v="3"/>
    <x v="3"/>
    <m/>
    <n v="24212134631.064003"/>
    <n v="53.338999999999999"/>
    <n v="2372511"/>
    <n v="2777970"/>
    <n v="0.44668147711770928"/>
    <x v="7"/>
    <n v="13.17"/>
    <n v="17.36"/>
    <n v="22.72"/>
    <n v="38.24"/>
  </r>
  <r>
    <x v="5"/>
    <x v="0"/>
    <s v="Asia and the Pacific: High income"/>
    <n v="871000000"/>
    <n v="55.2"/>
    <n v="22602.278535806727"/>
    <n v="43914"/>
    <n v="0.51469414163607796"/>
    <x v="8"/>
    <e v="#N/A"/>
    <e v="#N/A"/>
    <e v="#N/A"/>
    <e v="#N/A"/>
  </r>
  <r>
    <x v="0"/>
    <x v="0"/>
    <s v="Latin America and the Caribbean: High income"/>
    <n v="2033085185.185185"/>
    <n v="49.5"/>
    <n v="40486.82288171861"/>
    <n v="94298"/>
    <n v="0.42934975165664818"/>
    <x v="0"/>
    <n v="8.52"/>
    <n v="13.03"/>
    <n v="20.2"/>
    <n v="54.21"/>
  </r>
  <r>
    <x v="5"/>
    <x v="0"/>
    <m/>
    <n v="1723827215334.7063"/>
    <n v="53.018999999999998"/>
    <n v="21222759"/>
    <n v="26638544"/>
    <n v="0.53342979995800899"/>
    <x v="9"/>
    <n v="12.16"/>
    <n v="16.37"/>
    <n v="22.44"/>
    <n v="41.82"/>
  </r>
  <r>
    <x v="3"/>
    <x v="0"/>
    <m/>
    <n v="516034144115.95032"/>
    <n v="59.561"/>
    <n v="7601773"/>
    <n v="9132383"/>
    <n v="0.49595851557385762"/>
    <x v="10"/>
    <n v="13.22"/>
    <n v="17.48"/>
    <n v="23.1"/>
    <n v="38.35"/>
  </r>
  <r>
    <x v="3"/>
    <x v="3"/>
    <m/>
    <n v="72356176470.588242"/>
    <n v="46.567"/>
    <n v="6928566"/>
    <n v="10112555"/>
    <n v="0.52434381186058898"/>
    <x v="11"/>
    <n v="15.67"/>
    <n v="18.38"/>
    <n v="21.88"/>
    <n v="31.72"/>
  </r>
  <r>
    <x v="2"/>
    <x v="1"/>
    <m/>
    <n v="2642161668.9275384"/>
    <n v="39.593000000000004"/>
    <n v="5826852.2445385326"/>
    <n v="13238559"/>
    <n v="0.4401424841282599"/>
    <x v="12"/>
    <n v="7.47"/>
    <n v="11.5"/>
    <n v="18.809999999999999"/>
    <n v="58.51"/>
  </r>
  <r>
    <x v="3"/>
    <x v="0"/>
    <m/>
    <n v="632216577075.10925"/>
    <n v="61.088999999999999"/>
    <n v="9591944"/>
    <n v="11822592"/>
    <n v="0.43401880262684311"/>
    <x v="13"/>
    <n v="14.24"/>
    <n v="17.95"/>
    <n v="22.43"/>
    <n v="36.409999999999997"/>
  </r>
  <r>
    <x v="2"/>
    <x v="2"/>
    <m/>
    <n v="19673284686.002258"/>
    <n v="36.139000000000003"/>
    <n v="7308084"/>
    <n v="13712828"/>
    <n v="0.36652773517351783"/>
    <x v="14"/>
    <n v="7.51"/>
    <n v="11.77"/>
    <n v="18.809999999999999"/>
    <n v="58.14"/>
  </r>
  <r>
    <x v="2"/>
    <x v="1"/>
    <m/>
    <n v="20324617838.967648"/>
    <n v="51.396000000000001"/>
    <n v="11630047"/>
    <n v="23251485"/>
    <n v="0.35937194718723781"/>
    <x v="15"/>
    <n v="2.27"/>
    <n v="4.88"/>
    <n v="13.42"/>
    <n v="78.28"/>
  </r>
  <r>
    <x v="1"/>
    <x v="2"/>
    <m/>
    <n v="437415331040.99432"/>
    <n v="40.860999999999997"/>
    <n v="120325589"/>
    <n v="172954319"/>
    <n v="0.41929514692910252"/>
    <x v="16"/>
    <n v="8.92"/>
    <n v="13.34"/>
    <n v="19.97"/>
    <n v="53.67"/>
  </r>
  <r>
    <x v="3"/>
    <x v="3"/>
    <m/>
    <n v="101584384672.78587"/>
    <n v="51.289000000000001"/>
    <n v="5817468"/>
    <n v="6430370"/>
    <n v="0.47824309519253927"/>
    <x v="17"/>
    <n v="11.02"/>
    <n v="15.22"/>
    <n v="21.41"/>
    <n v="46.67"/>
  </r>
  <r>
    <x v="4"/>
    <x v="0"/>
    <m/>
    <n v="43205000000"/>
    <n v="28.11"/>
    <n v="851762.20228048146"/>
    <n v="1485509"/>
    <n v="0.57338070808085406"/>
    <x v="18"/>
    <n v="11.69"/>
    <n v="16.84"/>
    <n v="23.33"/>
    <n v="41.4"/>
  </r>
  <r>
    <x v="0"/>
    <x v="0"/>
    <s v="Latin America and the Caribbean: High income"/>
    <n v="14338500000"/>
    <n v="49.5"/>
    <n v="220641.1476789338"/>
    <n v="412623"/>
    <n v="0.53472818451451765"/>
    <x v="19"/>
    <n v="7.99"/>
    <n v="13.15"/>
    <n v="20.9"/>
    <n v="54.42"/>
  </r>
  <r>
    <x v="3"/>
    <x v="3"/>
    <m/>
    <n v="27054889362.885204"/>
    <n v="52.302999999999997"/>
    <n v="2899744"/>
    <n v="3210847"/>
    <n v="0.37318178360093596"/>
    <x v="20"/>
    <n v="12.04"/>
    <n v="16.91"/>
    <n v="23.39"/>
    <n v="41.46"/>
  </r>
  <r>
    <x v="3"/>
    <x v="3"/>
    <m/>
    <n v="71857382745.606598"/>
    <n v="48.921999999999997"/>
    <n v="7159530"/>
    <n v="9178298"/>
    <n v="0.53652729806695243"/>
    <x v="21"/>
    <n v="13.37"/>
    <n v="17.52"/>
    <n v="22.9"/>
    <n v="37.64"/>
  </r>
  <r>
    <x v="0"/>
    <x v="3"/>
    <m/>
    <n v="3281500000"/>
    <n v="47.396999999999998"/>
    <n v="300465"/>
    <n v="410825"/>
    <n v="0.43043684241694469"/>
    <x v="22"/>
    <n v="7.69"/>
    <n v="12"/>
    <n v="19.41"/>
    <n v="57.69"/>
  </r>
  <r>
    <x v="6"/>
    <x v="0"/>
    <s v="Northern America: High income"/>
    <n v="7827980000"/>
    <n v="58.9"/>
    <n v="32382.064083395227"/>
    <n v="63489"/>
    <n v="0.51004211884570916"/>
    <x v="23"/>
    <n v="10.42"/>
    <n v="15.38"/>
    <n v="22.53"/>
    <n v="46.3"/>
  </r>
  <r>
    <x v="0"/>
    <x v="2"/>
    <s v="Latin America and the Caribbean: Lower-middle income"/>
    <n v="45849832906.413895"/>
    <n v="53.6"/>
    <n v="5944908.9718367225"/>
    <n v="12388571"/>
    <n v="0.47987043637532711"/>
    <x v="24"/>
    <n v="9.4499999999999993"/>
    <n v="14.49"/>
    <n v="22.33"/>
    <n v="49.6"/>
  </r>
  <r>
    <x v="0"/>
    <x v="3"/>
    <m/>
    <n v="2173665655937.2737"/>
    <n v="57.762999999999998"/>
    <n v="170296550"/>
    <n v="216422446"/>
    <n v="0.46556790879873217"/>
    <x v="25"/>
    <n v="8.44"/>
    <n v="13.89"/>
    <n v="20.51"/>
    <n v="54.01"/>
  </r>
  <r>
    <x v="0"/>
    <x v="0"/>
    <m/>
    <n v="6393564189.6134501"/>
    <n v="58.218000000000004"/>
    <n v="134419.60253519626"/>
    <n v="281995"/>
    <n v="0.47667370887851296"/>
    <x v="26"/>
    <n v="6.9"/>
    <n v="11.41"/>
    <n v="19.03"/>
    <n v="60.24"/>
  </r>
  <r>
    <x v="5"/>
    <x v="0"/>
    <m/>
    <n v="15128292953.509842"/>
    <n v="31.777999999999999"/>
    <n v="354002"/>
    <n v="452524"/>
    <n v="0.48470385432581592"/>
    <x v="27"/>
    <n v="13.38"/>
    <n v="17.68"/>
    <n v="22.83"/>
    <n v="37.159999999999997"/>
  </r>
  <r>
    <x v="1"/>
    <x v="2"/>
    <m/>
    <n v="2898227713.2231541"/>
    <n v="45.343000000000004"/>
    <n v="484965"/>
    <n v="787424"/>
    <n v="0.51581880108121236"/>
    <x v="19"/>
    <n v="7.79"/>
    <n v="12.64"/>
    <n v="21.2"/>
    <n v="54.83"/>
  </r>
  <r>
    <x v="2"/>
    <x v="3"/>
    <m/>
    <n v="19395765126.312748"/>
    <n v="41.491999999999997"/>
    <n v="1611892"/>
    <n v="2675352"/>
    <n v="0.33991307442204222"/>
    <x v="28"/>
    <n v="5.66"/>
    <n v="9.9600000000000009"/>
    <n v="19.03"/>
    <n v="62.35"/>
  </r>
  <r>
    <x v="2"/>
    <x v="1"/>
    <m/>
    <n v="2555492085.2483063"/>
    <n v="35.212000000000003"/>
    <n v="2039813.4059750026"/>
    <n v="5742315"/>
    <n v="0.35522492339326606"/>
    <x v="29"/>
    <n v="4.78"/>
    <n v="8.74"/>
    <n v="16.399999999999999"/>
    <n v="68.92"/>
  </r>
  <r>
    <x v="6"/>
    <x v="0"/>
    <m/>
    <n v="2140085567791.4514"/>
    <n v="59.505000000000003"/>
    <n v="31772056"/>
    <n v="40097761"/>
    <n v="0.5195482125796258"/>
    <x v="30"/>
    <n v="12.62"/>
    <n v="17"/>
    <n v="22.98"/>
    <n v="40.07"/>
  </r>
  <r>
    <x v="3"/>
    <x v="0"/>
    <m/>
    <n v="884940402230.40881"/>
    <n v="70.507000000000005"/>
    <n v="7389316"/>
    <n v="8849852"/>
    <n v="0.54363895548647634"/>
    <x v="31"/>
    <n v="12.28"/>
    <n v="16.760000000000002"/>
    <n v="22.48"/>
    <n v="41.02"/>
  </r>
  <r>
    <x v="3"/>
    <x v="0"/>
    <m/>
    <n v="11228317318.765242"/>
    <n v="56.904000000000003"/>
    <n v="103317.17307483988"/>
    <n v="175346"/>
    <n v="0.58921887624947178"/>
    <x v="8"/>
    <e v="#N/A"/>
    <e v="#N/A"/>
    <e v="#N/A"/>
    <e v="#N/A"/>
  </r>
  <r>
    <x v="0"/>
    <x v="0"/>
    <m/>
    <n v="335533331669.21912"/>
    <n v="50.375"/>
    <n v="16088198"/>
    <n v="19629590"/>
    <n v="0.45677116700171339"/>
    <x v="32"/>
    <n v="8.33"/>
    <n v="12.57"/>
    <n v="19.489999999999998"/>
    <n v="55.77"/>
  </r>
  <r>
    <x v="5"/>
    <x v="3"/>
    <m/>
    <n v="17794781986104.457"/>
    <n v="51.402000000000001"/>
    <n v="747616510.09087408"/>
    <n v="1410710000"/>
    <n v="0.52995761715084888"/>
    <x v="33"/>
    <n v="9.2200000000000006"/>
    <n v="14.47"/>
    <n v="23.15"/>
    <n v="48.39"/>
  </r>
  <r>
    <x v="2"/>
    <x v="2"/>
    <s v="Sub-Saharan Africa: Lower-middle income"/>
    <n v="78788828906.863449"/>
    <n v="55.4"/>
    <n v="10958461.983169997"/>
    <n v="28873034"/>
    <n v="0.37953967647355652"/>
    <x v="34"/>
    <n v="6.61"/>
    <n v="11.08"/>
    <n v="18.18"/>
    <n v="60.97"/>
  </r>
  <r>
    <x v="2"/>
    <x v="2"/>
    <m/>
    <n v="47945510090.052856"/>
    <n v="46.167999999999999"/>
    <n v="14700097"/>
    <n v="28647293"/>
    <n v="0.41278952299260857"/>
    <x v="35"/>
    <n v="5.76"/>
    <n v="10.8"/>
    <n v="18.86"/>
    <n v="62.69"/>
  </r>
  <r>
    <x v="2"/>
    <x v="1"/>
    <s v="Sub-Saharan Africa: Low income"/>
    <n v="66383287002.996895"/>
    <n v="40.200000000000003"/>
    <n v="35492790.413433157"/>
    <n v="102262808"/>
    <n v="0.34707427957027304"/>
    <x v="36"/>
    <n v="6.76"/>
    <n v="11.15"/>
    <n v="19.41"/>
    <n v="60"/>
  </r>
  <r>
    <x v="2"/>
    <x v="2"/>
    <s v="Sub-Saharan Africa: Lower-middle income"/>
    <n v="15321055818.326313"/>
    <n v="55.4"/>
    <n v="2017442.4611925383"/>
    <n v="6106869"/>
    <n v="0.33035626950447738"/>
    <x v="37"/>
    <n v="5.6"/>
    <n v="10.41"/>
    <n v="18.149999999999999"/>
    <n v="64.14"/>
  </r>
  <r>
    <x v="0"/>
    <x v="3"/>
    <m/>
    <n v="363540156234.86835"/>
    <n v="54.655000000000001"/>
    <n v="38996571"/>
    <n v="52085168"/>
    <n v="0.45408811932538723"/>
    <x v="38"/>
    <n v="7.25"/>
    <n v="12.02"/>
    <n v="19.96"/>
    <n v="57.98"/>
  </r>
  <r>
    <x v="2"/>
    <x v="2"/>
    <m/>
    <n v="1352380972.1566217"/>
    <n v="42.185000000000002"/>
    <n v="492982"/>
    <n v="852075"/>
    <n v="0.26421590536990874"/>
    <x v="39"/>
    <n v="6.17"/>
    <n v="10.94"/>
    <n v="19.29"/>
    <n v="61.7"/>
  </r>
  <r>
    <x v="2"/>
    <x v="2"/>
    <m/>
    <n v="2587252076.3055992"/>
    <n v="43.26"/>
    <n v="228378.66838854994"/>
    <n v="598682"/>
    <n v="0.38146907438097344"/>
    <x v="40"/>
    <n v="6.61"/>
    <n v="11.23"/>
    <n v="18.91"/>
    <n v="60.53"/>
  </r>
  <r>
    <x v="0"/>
    <x v="3"/>
    <m/>
    <n v="86497941439.017441"/>
    <n v="54.179000000000002"/>
    <n v="4100457.9999999995"/>
    <n v="5212173"/>
    <n v="0.42513408568397065"/>
    <x v="41"/>
    <n v="8.23"/>
    <n v="12.65"/>
    <n v="20.89"/>
    <n v="54.12"/>
  </r>
  <r>
    <x v="0"/>
    <x v="3"/>
    <m/>
    <n v="2558906303.8809776"/>
    <n v="41.923000000000002"/>
    <n v="5246327.1346570887"/>
    <n v="11194449"/>
    <n v="0.46865434240283632"/>
    <x v="42"/>
    <n v="8.33"/>
    <n v="12.24"/>
    <n v="18.260000000000002"/>
    <n v="56.08"/>
  </r>
  <r>
    <x v="0"/>
    <x v="0"/>
    <s v="Latin America and the Caribbean: High income"/>
    <n v="3073840325.4328494"/>
    <n v="49.5"/>
    <n v="63484.512979455314"/>
    <n v="147862"/>
    <n v="0.42934975165664818"/>
    <x v="0"/>
    <n v="8.52"/>
    <n v="13.03"/>
    <n v="20.2"/>
    <n v="54.21"/>
  </r>
  <r>
    <x v="0"/>
    <x v="0"/>
    <s v="Latin America and the Caribbean: High income"/>
    <n v="6600844001.5372057"/>
    <n v="49.5"/>
    <n v="29758.231287322287"/>
    <n v="69310"/>
    <n v="0.42934975165664818"/>
    <x v="0"/>
    <n v="8.52"/>
    <n v="13.03"/>
    <n v="20.2"/>
    <n v="54.21"/>
  </r>
  <r>
    <x v="3"/>
    <x v="0"/>
    <m/>
    <n v="32229622669.195114"/>
    <n v="48.497"/>
    <n v="742506"/>
    <n v="1260138"/>
    <n v="0.51804651742565655"/>
    <x v="7"/>
    <n v="12.84"/>
    <n v="16.75"/>
    <n v="21.81"/>
    <n v="40.1"/>
  </r>
  <r>
    <x v="3"/>
    <x v="0"/>
    <m/>
    <n v="330858339871.6861"/>
    <n v="56.308999999999997"/>
    <n v="8832092"/>
    <n v="10873689"/>
    <n v="0.48488575557354219"/>
    <x v="43"/>
    <n v="14.39"/>
    <n v="17.670000000000002"/>
    <n v="22.02"/>
    <n v="35.9"/>
  </r>
  <r>
    <x v="3"/>
    <x v="0"/>
    <m/>
    <n v="4456081016705.9609"/>
    <n v="61.37"/>
    <n v="71730448"/>
    <n v="84482267"/>
    <n v="0.5110750455395795"/>
    <x v="44"/>
    <n v="12.92"/>
    <n v="17"/>
    <n v="22.3"/>
    <n v="39.93"/>
  </r>
  <r>
    <x v="4"/>
    <x v="2"/>
    <m/>
    <n v="4098530513.5577674"/>
    <n v="41.298999999999999"/>
    <n v="191024.17761446902"/>
    <n v="1136455"/>
    <n v="0.16808776204466436"/>
    <x v="45"/>
    <n v="9.8000000000000007"/>
    <n v="14.7"/>
    <n v="21.72"/>
    <n v="49.08"/>
  </r>
  <r>
    <x v="0"/>
    <x v="3"/>
    <s v="Latin America and the Caribbean: Upper-middle income"/>
    <n v="653992592.5925926"/>
    <n v="47.5"/>
    <n v="19263.474172973954"/>
    <n v="73040"/>
    <n v="0.26373869349635753"/>
    <x v="46"/>
    <n v="6.88"/>
    <n v="11.52"/>
    <n v="18.89"/>
    <n v="60.07"/>
  </r>
  <r>
    <x v="3"/>
    <x v="0"/>
    <m/>
    <n v="404198757537.97418"/>
    <n v="57.97"/>
    <n v="4944501"/>
    <n v="5946952"/>
    <n v="0.50948503287375635"/>
    <x v="47"/>
    <n v="14.29"/>
    <n v="17.86"/>
    <n v="22.47"/>
    <n v="35.979999999999997"/>
  </r>
  <r>
    <x v="0"/>
    <x v="3"/>
    <m/>
    <n v="121444279313.93079"/>
    <n v="47.381999999999998"/>
    <n v="7845759"/>
    <n v="11332972"/>
    <n v="0.44567270241461682"/>
    <x v="48"/>
    <n v="10.5"/>
    <n v="14.8"/>
    <n v="21.6"/>
    <n v="47.1"/>
  </r>
  <r>
    <x v="4"/>
    <x v="2"/>
    <m/>
    <n v="239899491127.74237"/>
    <n v="35.037999999999997"/>
    <n v="11964886.355217472"/>
    <n v="45606480"/>
    <n v="0.26235057726922734"/>
    <x v="49"/>
    <n v="12.04"/>
    <n v="16.440000000000001"/>
    <n v="22.36"/>
    <n v="41.43"/>
  </r>
  <r>
    <x v="0"/>
    <x v="3"/>
    <m/>
    <n v="118844826000"/>
    <n v="54.978000000000002"/>
    <n v="12858395"/>
    <n v="18190484"/>
    <n v="0.4764837509027276"/>
    <x v="50"/>
    <n v="9.25"/>
    <n v="13.37"/>
    <n v="20.2"/>
    <n v="52.36"/>
  </r>
  <r>
    <x v="4"/>
    <x v="2"/>
    <s v="Arab States: Lower-middle income"/>
    <n v="395926075163.0058"/>
    <n v="43.8"/>
    <n v="31823033.603477314"/>
    <n v="112716598"/>
    <n v="0.28232783962728641"/>
    <x v="51"/>
    <n v="11.88"/>
    <n v="15.4"/>
    <n v="20.56"/>
    <n v="44.1"/>
  </r>
  <r>
    <x v="2"/>
    <x v="1"/>
    <m/>
    <n v="3103184101.5135417"/>
    <n v="38.131"/>
    <n v="1724837.678877925"/>
    <n v="3748901"/>
    <n v="0.46009155186491324"/>
    <x v="52"/>
    <n v="7"/>
    <n v="11.13"/>
    <n v="19.04"/>
    <n v="59.44"/>
  </r>
  <r>
    <x v="3"/>
    <x v="0"/>
    <m/>
    <n v="1580694712515.7141"/>
    <n v="59.088999999999999"/>
    <n v="40449012"/>
    <n v="48373336"/>
    <n v="0.43551588439447664"/>
    <x v="53"/>
    <n v="12.31"/>
    <n v="17.239999999999998"/>
    <n v="23.62"/>
    <n v="40.68"/>
  </r>
  <r>
    <x v="3"/>
    <x v="0"/>
    <m/>
    <n v="40744848827.953659"/>
    <n v="56.369"/>
    <n v="1098356"/>
    <n v="1366188"/>
    <n v="0.50413911212597495"/>
    <x v="54"/>
    <n v="12.83"/>
    <n v="16.88"/>
    <n v="23.23"/>
    <n v="38.99"/>
  </r>
  <r>
    <x v="2"/>
    <x v="1"/>
    <m/>
    <n v="163697927593.98236"/>
    <n v="40.49"/>
    <n v="56498604"/>
    <n v="126527060"/>
    <n v="0.48314551563510444"/>
    <x v="55"/>
    <n v="8.19"/>
    <n v="12.47"/>
    <n v="19.11"/>
    <n v="56.2"/>
  </r>
  <r>
    <x v="3"/>
    <x v="0"/>
    <m/>
    <n v="300187202696.08374"/>
    <n v="55.476999999999997"/>
    <n v="4630184"/>
    <n v="5584264"/>
    <n v="0.47883589693933126"/>
    <x v="56"/>
    <n v="13.85"/>
    <n v="17.420000000000002"/>
    <n v="22.26"/>
    <n v="37.24"/>
  </r>
  <r>
    <x v="5"/>
    <x v="3"/>
    <m/>
    <n v="5494797540.7336473"/>
    <n v="42.786000000000001"/>
    <n v="376581.94158530212"/>
    <n v="936375"/>
    <n v="0.40217000836769684"/>
    <x v="57"/>
    <n v="11.87"/>
    <n v="16.62"/>
    <n v="23.09"/>
    <n v="41.32"/>
  </r>
  <r>
    <x v="3"/>
    <x v="0"/>
    <m/>
    <n v="3030904089607.8965"/>
    <n v="59.777999999999999"/>
    <n v="54427495"/>
    <n v="68170228"/>
    <n v="0.4256486681564815"/>
    <x v="58"/>
    <n v="12.79"/>
    <n v="17.27"/>
    <n v="22.71"/>
    <n v="40.29"/>
  </r>
  <r>
    <x v="3"/>
    <x v="0"/>
    <s v="Europe and Central Asia: High income"/>
    <n v="3555929833.0505052"/>
    <n v="57.4"/>
    <n v="31387.689537809361"/>
    <n v="53270"/>
    <n v="0.58921887624947178"/>
    <x v="8"/>
    <e v="#N/A"/>
    <e v="#N/A"/>
    <e v="#N/A"/>
    <e v="#N/A"/>
  </r>
  <r>
    <x v="5"/>
    <x v="2"/>
    <s v="Asia and the Pacific: Lower-middle income"/>
    <n v="460000000"/>
    <n v="50.8"/>
    <n v="49215.284702325487"/>
    <n v="115224"/>
    <n v="0.42712702824346915"/>
    <x v="59"/>
    <n v="10.36"/>
    <n v="14.91"/>
    <n v="21.74"/>
    <n v="47.52"/>
  </r>
  <r>
    <x v="2"/>
    <x v="3"/>
    <m/>
    <n v="20516134388.660782"/>
    <n v="26.803999999999998"/>
    <n v="619827.13728216756"/>
    <n v="2436566"/>
    <n v="0.25438553163844835"/>
    <x v="60"/>
    <n v="8.31"/>
    <n v="13.32"/>
    <n v="21.82"/>
    <n v="51.94"/>
  </r>
  <r>
    <x v="3"/>
    <x v="0"/>
    <s v="Europe and Central Asia: High income"/>
    <n v="3340032380668.0356"/>
    <n v="57.4"/>
    <n v="34124184.563424431"/>
    <n v="68350000"/>
    <n v="0.49925654079626086"/>
    <x v="61"/>
    <n v="12.18"/>
    <n v="16.73"/>
    <n v="22.72"/>
    <n v="41.13"/>
  </r>
  <r>
    <x v="3"/>
    <x v="3"/>
    <m/>
    <n v="30535530479.022663"/>
    <n v="50.976999999999997"/>
    <n v="2988927"/>
    <n v="3760365"/>
    <n v="0.43676097682910336"/>
    <x v="1"/>
    <n v="10.66"/>
    <n v="15.72"/>
    <n v="22.27"/>
    <n v="46.09"/>
  </r>
  <r>
    <x v="2"/>
    <x v="2"/>
    <m/>
    <n v="76370394412.41626"/>
    <n v="43.444000000000003"/>
    <n v="18929141"/>
    <n v="34121985"/>
    <n v="0.42889600778112713"/>
    <x v="62"/>
    <n v="6.56"/>
    <n v="11.58"/>
    <n v="19.39"/>
    <n v="60.45"/>
  </r>
  <r>
    <x v="3"/>
    <x v="0"/>
    <s v="Europe and Central Asia: High income"/>
    <n v="2775798697.4602237"/>
    <n v="57.4"/>
    <n v="19260.386626842734"/>
    <n v="32688"/>
    <n v="0.58921887624947178"/>
    <x v="8"/>
    <e v="#N/A"/>
    <e v="#N/A"/>
    <e v="#N/A"/>
    <e v="#N/A"/>
  </r>
  <r>
    <x v="2"/>
    <x v="2"/>
    <m/>
    <n v="23612295818.096096"/>
    <n v="37.432000000000002"/>
    <n v="4262410.3143925816"/>
    <n v="14190612"/>
    <n v="0.30036832198587221"/>
    <x v="63"/>
    <n v="8.86"/>
    <n v="13.19"/>
    <n v="20.43"/>
    <n v="52.59"/>
  </r>
  <r>
    <x v="2"/>
    <x v="1"/>
    <s v="Sub-Saharan Africa: Low income"/>
    <n v="2339904156.7921438"/>
    <n v="40.200000000000003"/>
    <n v="952036.71806864173"/>
    <n v="2773168"/>
    <n v="0.34330293659404759"/>
    <x v="16"/>
    <n v="7.87"/>
    <n v="11.97"/>
    <n v="19.52"/>
    <n v="56.54"/>
  </r>
  <r>
    <x v="2"/>
    <x v="1"/>
    <m/>
    <n v="1966461400.3583264"/>
    <n v="37.752000000000002"/>
    <n v="1133030"/>
    <n v="2150842"/>
    <n v="0.33423886973858813"/>
    <x v="64"/>
    <n v="7.91"/>
    <n v="12.04"/>
    <n v="19.559999999999999"/>
    <n v="56.05"/>
  </r>
  <r>
    <x v="2"/>
    <x v="3"/>
    <m/>
    <n v="12116922539.411173"/>
    <n v="47.02"/>
    <n v="555027.00487190939"/>
    <n v="1714671"/>
    <n v="0.32369300283955893"/>
    <x v="65"/>
    <n v="6.02"/>
    <n v="12.12"/>
    <n v="21.91"/>
    <n v="58.14"/>
  </r>
  <r>
    <x v="3"/>
    <x v="0"/>
    <m/>
    <n v="238206312632.52774"/>
    <n v="57.122999999999998"/>
    <n v="9050160"/>
    <n v="10361295"/>
    <n v="0.39659414252666586"/>
    <x v="66"/>
    <n v="12.71"/>
    <n v="17.21"/>
    <n v="23.04"/>
    <n v="39.840000000000003"/>
  </r>
  <r>
    <x v="0"/>
    <x v="3"/>
    <s v="Latin America and the Caribbean: Upper-middle income"/>
    <n v="1320334235.588974"/>
    <n v="47.5"/>
    <n v="33279.339561450885"/>
    <n v="126183"/>
    <n v="0.26373869349635753"/>
    <x v="60"/>
    <n v="8.67"/>
    <n v="13.04"/>
    <n v="20.399999999999999"/>
    <n v="53.3"/>
  </r>
  <r>
    <x v="3"/>
    <x v="0"/>
    <s v="Europe and Central Asia: High income"/>
    <n v="11368900000"/>
    <n v="57.4"/>
    <n v="33505.931397926215"/>
    <n v="56865"/>
    <n v="0.58921887624947178"/>
    <x v="67"/>
    <n v="11.99"/>
    <n v="16.18"/>
    <n v="22.99"/>
    <n v="42.35"/>
  </r>
  <r>
    <x v="0"/>
    <x v="3"/>
    <m/>
    <n v="102050473863.63637"/>
    <n v="47.658999999999999"/>
    <n v="11904298"/>
    <n v="17602431"/>
    <n v="0.41620264126633855"/>
    <x v="68"/>
    <n v="8.6"/>
    <n v="13.21"/>
    <n v="20.100000000000001"/>
    <n v="53.58"/>
  </r>
  <r>
    <x v="5"/>
    <x v="0"/>
    <m/>
    <n v="6910000000"/>
    <n v="50.542000000000002"/>
    <n v="76289.619150744576"/>
    <n v="172952"/>
    <n v="0.44110284443512987"/>
    <x v="8"/>
    <e v="#N/A"/>
    <e v="#N/A"/>
    <e v="#N/A"/>
    <e v="#N/A"/>
  </r>
  <r>
    <x v="0"/>
    <x v="0"/>
    <m/>
    <n v="16786302158.273382"/>
    <n v="58.33"/>
    <n v="266192.74927231227"/>
    <n v="813834"/>
    <n v="0.32708482230075453"/>
    <x v="69"/>
    <n v="9.81"/>
    <n v="14.51"/>
    <n v="21.3"/>
    <n v="50.17"/>
  </r>
  <r>
    <x v="5"/>
    <x v="0"/>
    <s v="Asia and the Pacific: High income"/>
    <n v="382054574298.52905"/>
    <n v="55.2"/>
    <n v="3744076.5826901351"/>
    <n v="7536100"/>
    <n v="0.4968188562638679"/>
    <x v="70"/>
    <n v="11.01"/>
    <n v="14.76"/>
    <n v="20.56"/>
    <n v="47.38"/>
  </r>
  <r>
    <x v="0"/>
    <x v="2"/>
    <m/>
    <n v="34400509852.043648"/>
    <n v="57.195"/>
    <n v="6795513"/>
    <n v="10593798"/>
    <n v="0.41778563116920958"/>
    <x v="71"/>
    <n v="8.09"/>
    <n v="13.33"/>
    <n v="21.51"/>
    <n v="53.33"/>
  </r>
  <r>
    <x v="3"/>
    <x v="0"/>
    <m/>
    <n v="82688842717.392593"/>
    <n v="56.372999999999998"/>
    <n v="3508146"/>
    <n v="3853200"/>
    <n v="0.4410913995227721"/>
    <x v="72"/>
    <n v="13.63"/>
    <n v="18.100000000000001"/>
    <n v="23.26"/>
    <n v="36.979999999999997"/>
  </r>
  <r>
    <x v="0"/>
    <x v="2"/>
    <m/>
    <n v="19850829757.747147"/>
    <n v="50.552999999999997"/>
    <n v="4513400.7491477774"/>
    <n v="11724763"/>
    <n v="0.38494601120276606"/>
    <x v="73"/>
    <n v="5.49"/>
    <n v="9.9700000000000006"/>
    <n v="18.260000000000002"/>
    <n v="64.290000000000006"/>
  </r>
  <r>
    <x v="3"/>
    <x v="0"/>
    <m/>
    <n v="212388906458.72394"/>
    <n v="47.131"/>
    <n v="8096039"/>
    <n v="9589872"/>
    <n v="0.52724480890274528"/>
    <x v="74"/>
    <n v="13.94"/>
    <n v="17.760000000000002"/>
    <n v="22.94"/>
    <n v="35.89"/>
  </r>
  <r>
    <x v="5"/>
    <x v="3"/>
    <m/>
    <n v="1371171152331.155"/>
    <n v="58.558999999999997"/>
    <n v="208982234"/>
    <n v="277534122"/>
    <n v="0.49477975495429444"/>
    <x v="75"/>
    <n v="10.6"/>
    <n v="14.96"/>
    <n v="21.38"/>
    <n v="46.34"/>
  </r>
  <r>
    <x v="3"/>
    <x v="0"/>
    <s v="Europe and Central Asia: High income"/>
    <n v="18750946600.142254"/>
    <n v="57.4"/>
    <n v="49912.731007092756"/>
    <n v="84710"/>
    <n v="0.58921887624947178"/>
    <x v="8"/>
    <e v="#N/A"/>
    <e v="#N/A"/>
    <e v="#N/A"/>
    <e v="#N/A"/>
  </r>
  <r>
    <x v="1"/>
    <x v="2"/>
    <m/>
    <n v="3549918918777.5317"/>
    <n v="56.893000000000001"/>
    <n v="892744867"/>
    <n v="1428627663"/>
    <n v="0.39939911351962915"/>
    <x v="76"/>
    <n v="7.84"/>
    <n v="12.18"/>
    <n v="19.86"/>
    <n v="56.41"/>
  </r>
  <r>
    <x v="3"/>
    <x v="0"/>
    <m/>
    <n v="545629450403.73511"/>
    <n v="30.614999999999998"/>
    <n v="4112814.9999999995"/>
    <n v="5262382"/>
    <n v="0.49535104160774851"/>
    <x v="77"/>
    <n v="13"/>
    <n v="16.53"/>
    <n v="22.05"/>
    <n v="39.75"/>
  </r>
  <r>
    <x v="4"/>
    <x v="2"/>
    <s v="Arab States: Lower-middle income"/>
    <n v="401504514718.7182"/>
    <n v="43.8"/>
    <n v="26799296.292171828"/>
    <n v="89172767"/>
    <n v="0.30053229471024295"/>
    <x v="78"/>
    <n v="9.7100000000000009"/>
    <n v="14.46"/>
    <n v="21.76"/>
    <n v="48.95"/>
  </r>
  <r>
    <x v="4"/>
    <x v="3"/>
    <m/>
    <n v="250842782139.46417"/>
    <n v="40.344000000000001"/>
    <n v="26091405"/>
    <n v="45504560"/>
    <n v="0.22414499402891785"/>
    <x v="79"/>
    <n v="10.73"/>
    <n v="15.33"/>
    <n v="21.51"/>
    <n v="46.91"/>
  </r>
  <r>
    <x v="3"/>
    <x v="0"/>
    <m/>
    <n v="31020032583.197216"/>
    <n v="62.029000000000003"/>
    <n v="293122"/>
    <n v="393600"/>
    <n v="0.5788645638908595"/>
    <x v="80"/>
    <n v="14.25"/>
    <n v="17.739999999999998"/>
    <n v="22.15"/>
    <n v="36.130000000000003"/>
  </r>
  <r>
    <x v="4"/>
    <x v="0"/>
    <m/>
    <n v="509901495702.10327"/>
    <n v="50.241"/>
    <n v="6691641"/>
    <n v="9756700"/>
    <n v="0.43301417734763281"/>
    <x v="81"/>
    <n v="10.84"/>
    <n v="16.53"/>
    <n v="23.64"/>
    <n v="43.84"/>
  </r>
  <r>
    <x v="3"/>
    <x v="0"/>
    <m/>
    <n v="2254851212731.8047"/>
    <n v="58.039000000000001"/>
    <n v="51174601"/>
    <n v="58761146"/>
    <n v="0.40290462785091896"/>
    <x v="82"/>
    <n v="11.84"/>
    <n v="17.079999999999998"/>
    <n v="23.88"/>
    <n v="41.63"/>
  </r>
  <r>
    <x v="0"/>
    <x v="3"/>
    <m/>
    <n v="19423355367.237179"/>
    <n v="53.713999999999999"/>
    <n v="2041780"/>
    <n v="2825544"/>
    <n v="0.52186850214881142"/>
    <x v="83"/>
    <n v="8.64"/>
    <n v="13.73"/>
    <n v="20.84"/>
    <n v="52.73"/>
  </r>
  <r>
    <x v="4"/>
    <x v="2"/>
    <m/>
    <n v="50813642348.674644"/>
    <n v="43.899000000000001"/>
    <n v="7864838"/>
    <n v="11337052"/>
    <n v="0.21968676049668839"/>
    <x v="84"/>
    <n v="10.74"/>
    <n v="15.02"/>
    <n v="21.7"/>
    <n v="46.58"/>
  </r>
  <r>
    <x v="5"/>
    <x v="0"/>
    <m/>
    <n v="4212945159781.4028"/>
    <n v="56.329000000000001"/>
    <n v="110380000"/>
    <n v="124516650"/>
    <n v="0.53426473428101562"/>
    <x v="85"/>
    <n v="12.85"/>
    <n v="16.55"/>
    <n v="21.68"/>
    <n v="41.23"/>
  </r>
  <r>
    <x v="3"/>
    <x v="3"/>
    <m/>
    <n v="261421121085.57208"/>
    <n v="41.551000000000002"/>
    <n v="9132954.9514112044"/>
    <n v="19900177"/>
    <n v="0.45893837785519215"/>
    <x v="86"/>
    <n v="12.6"/>
    <n v="16.7"/>
    <n v="22.5"/>
    <n v="39.96"/>
  </r>
  <r>
    <x v="2"/>
    <x v="2"/>
    <m/>
    <n v="107440575838.04752"/>
    <n v="36.021000000000001"/>
    <n v="30180251"/>
    <n v="55100586"/>
    <n v="0.44558274568646883"/>
    <x v="87"/>
    <n v="7"/>
    <n v="11.45"/>
    <n v="18.829999999999998"/>
    <n v="59.62"/>
  </r>
  <r>
    <x v="3"/>
    <x v="2"/>
    <s v="Europe and Central Asia: Upper-middle income"/>
    <n v="13987627908.838139"/>
    <n v="44.3"/>
    <n v="2843506.4978709375"/>
    <n v="7100800"/>
    <n v="0.40044875195343305"/>
    <x v="88"/>
    <n v="12.52"/>
    <n v="16.760000000000002"/>
    <n v="22.63"/>
    <n v="40.200000000000003"/>
  </r>
  <r>
    <x v="5"/>
    <x v="2"/>
    <m/>
    <n v="31772759998.857128"/>
    <n v="42.314"/>
    <n v="11845765"/>
    <n v="16944826"/>
    <n v="0.54598069328181886"/>
    <x v="89"/>
    <n v="11.71"/>
    <n v="15.63"/>
    <n v="21.28"/>
    <n v="43.26"/>
  </r>
  <r>
    <x v="5"/>
    <x v="2"/>
    <s v="Asia and the Pacific: Lower-middle income"/>
    <n v="279034355.10842144"/>
    <n v="50.8"/>
    <n v="57027.865175926781"/>
    <n v="133515"/>
    <n v="0.42712702824346915"/>
    <x v="4"/>
    <n v="12.31"/>
    <n v="16.260000000000002"/>
    <n v="21.78"/>
    <n v="41.2"/>
  </r>
  <r>
    <x v="0"/>
    <x v="0"/>
    <s v="Latin America and the Caribbean: High income"/>
    <n v="1077033111.1111109"/>
    <n v="49.5"/>
    <n v="20503.597390363233"/>
    <n v="47755"/>
    <n v="0.42934975165664818"/>
    <x v="0"/>
    <n v="8.52"/>
    <n v="13.03"/>
    <n v="20.2"/>
    <n v="54.21"/>
  </r>
  <r>
    <x v="5"/>
    <x v="0"/>
    <s v="Asia and the Pacific: High income"/>
    <n v="1712792854202.3687"/>
    <n v="55.2"/>
    <n v="28909997.938344005"/>
    <n v="51712619"/>
    <n v="0.55905112712129323"/>
    <x v="30"/>
    <n v="12.96"/>
    <n v="17.43"/>
    <n v="23.02"/>
    <n v="39.26"/>
  </r>
  <r>
    <x v="4"/>
    <x v="0"/>
    <m/>
    <n v="161772221950.94162"/>
    <n v="37.726999999999997"/>
    <n v="2433878.0221487028"/>
    <n v="4310108"/>
    <n v="0.56469072750583116"/>
    <x v="90"/>
    <n v="10.07"/>
    <n v="15.8"/>
    <n v="23.37"/>
    <n v="45.73"/>
  </r>
  <r>
    <x v="5"/>
    <x v="2"/>
    <s v="Asia and the Pacific: Lower-middle income"/>
    <n v="15843155731.25518"/>
    <n v="50.8"/>
    <n v="3095971.7535326164"/>
    <n v="7633779"/>
    <n v="0.40556214078670821"/>
    <x v="91"/>
    <n v="10.43"/>
    <n v="14.49"/>
    <n v="20.67"/>
    <n v="47.85"/>
  </r>
  <r>
    <x v="4"/>
    <x v="2"/>
    <m/>
    <n v="17937256175.14098"/>
    <n v="43.677"/>
    <n v="1525865.5491690952"/>
    <n v="5353930"/>
    <n v="0.28499915934072639"/>
    <x v="18"/>
    <n v="11.81"/>
    <n v="16.36"/>
    <n v="22.23"/>
    <n v="42.86"/>
  </r>
  <r>
    <x v="2"/>
    <x v="1"/>
    <m/>
    <n v="4332000000"/>
    <n v="39.844999999999999"/>
    <n v="2480347.6717762202"/>
    <n v="5418377"/>
    <n v="0.45776579809345497"/>
    <x v="92"/>
    <n v="7.9"/>
    <n v="12.27"/>
    <n v="19.95"/>
    <n v="55.91"/>
  </r>
  <r>
    <x v="4"/>
    <x v="3"/>
    <m/>
    <n v="50491722445.777298"/>
    <n v="40.487000000000002"/>
    <n v="1975503.3262826977"/>
    <n v="6888388"/>
    <n v="0.28678746410374933"/>
    <x v="93"/>
    <n v="10.86"/>
    <n v="15.4"/>
    <n v="21.63"/>
    <n v="46.37"/>
  </r>
  <r>
    <x v="0"/>
    <x v="3"/>
    <s v="Latin America and the Caribbean: Upper-middle income"/>
    <n v="2519925938.5244665"/>
    <n v="47.5"/>
    <n v="86156.324012965852"/>
    <n v="180251"/>
    <n v="0.47797972833973656"/>
    <x v="94"/>
    <n v="7.95"/>
    <n v="12.97"/>
    <n v="20.56"/>
    <n v="55.39"/>
  </r>
  <r>
    <x v="3"/>
    <x v="0"/>
    <s v="Europe and Central Asia: High income"/>
    <n v="7364654515.1398363"/>
    <n v="57.4"/>
    <n v="23323.639997459089"/>
    <n v="39584"/>
    <n v="0.58921887624947178"/>
    <x v="30"/>
    <n v="12.84"/>
    <n v="17.21"/>
    <n v="22.81"/>
    <n v="39.81"/>
  </r>
  <r>
    <x v="1"/>
    <x v="2"/>
    <m/>
    <n v="84356860421.129959"/>
    <n v="37.238"/>
    <n v="17161973"/>
    <n v="22037000"/>
    <n v="0.36409823723006174"/>
    <x v="95"/>
    <n v="9.1999999999999993"/>
    <n v="13.56"/>
    <n v="20.37"/>
    <n v="52.03"/>
  </r>
  <r>
    <x v="2"/>
    <x v="2"/>
    <m/>
    <n v="2046039024.4585402"/>
    <n v="55.22"/>
    <n v="849166.23188576766"/>
    <n v="2330318"/>
    <n v="0.36439929309466246"/>
    <x v="73"/>
    <n v="6.02"/>
    <n v="11.15"/>
    <n v="19.59"/>
    <n v="61.25"/>
  </r>
  <r>
    <x v="3"/>
    <x v="0"/>
    <m/>
    <n v="77836396962.771957"/>
    <n v="52.546999999999997"/>
    <n v="2402387"/>
    <n v="2871897"/>
    <n v="0.47172503274605271"/>
    <x v="96"/>
    <n v="12.03"/>
    <n v="16.25"/>
    <n v="22.41"/>
    <n v="42.61"/>
  </r>
  <r>
    <x v="3"/>
    <x v="0"/>
    <m/>
    <n v="85755006123.597595"/>
    <n v="54.78"/>
    <n v="530955"/>
    <n v="668606"/>
    <n v="0.49977721737612596"/>
    <x v="97"/>
    <n v="11.73"/>
    <n v="16.510000000000002"/>
    <n v="23.13"/>
    <n v="41.72"/>
  </r>
  <r>
    <x v="3"/>
    <x v="0"/>
    <m/>
    <n v="43627078481.287048"/>
    <n v="57.338999999999999"/>
    <n v="1564247"/>
    <n v="1881750"/>
    <n v="0.47312814897229571"/>
    <x v="98"/>
    <n v="12.15"/>
    <n v="16.39"/>
    <n v="22.36"/>
    <n v="42.09"/>
  </r>
  <r>
    <x v="5"/>
    <x v="0"/>
    <s v="Asia and the Pacific: High income"/>
    <n v="47061843715.856483"/>
    <n v="55.2"/>
    <n v="405065.36686239875"/>
    <n v="704149"/>
    <n v="0.57525519011231818"/>
    <x v="99"/>
    <n v="12.66"/>
    <n v="16.649999999999999"/>
    <n v="22.1"/>
    <n v="41.07"/>
  </r>
  <r>
    <x v="0"/>
    <x v="0"/>
    <s v="Latin America and the Caribbean: High income"/>
    <n v="111261882958.4261"/>
    <n v="49.5"/>
    <n v="13772.251983890304"/>
    <n v="32077"/>
    <n v="0.42934975165664818"/>
    <x v="8"/>
    <e v="#N/A"/>
    <e v="#N/A"/>
    <e v="#N/A"/>
    <e v="#N/A"/>
  </r>
  <r>
    <x v="4"/>
    <x v="2"/>
    <m/>
    <n v="141109373209.41437"/>
    <n v="43.847000000000001"/>
    <n v="27501964"/>
    <n v="37840044"/>
    <n v="0.29589242834322232"/>
    <x v="100"/>
    <n v="10.07"/>
    <n v="14.45"/>
    <n v="21.24"/>
    <n v="48.6"/>
  </r>
  <r>
    <x v="3"/>
    <x v="0"/>
    <s v="Europe and Central Asia: High income"/>
    <n v="8784002931.6866455"/>
    <n v="57.4"/>
    <n v="21386.877551227077"/>
    <n v="36297"/>
    <n v="0.58921887624947178"/>
    <x v="30"/>
    <n v="12.84"/>
    <n v="17.21"/>
    <n v="22.81"/>
    <n v="39.81"/>
  </r>
  <r>
    <x v="3"/>
    <x v="3"/>
    <s v="Europe and Central Asia: Upper-middle income"/>
    <n v="16539436547.294973"/>
    <n v="44.3"/>
    <n v="1950781.5042431862"/>
    <n v="2486891"/>
    <n v="0.78442581691082813"/>
    <x v="101"/>
    <n v="13.02"/>
    <n v="17.14"/>
    <n v="22.8"/>
    <n v="38.71"/>
  </r>
  <r>
    <x v="2"/>
    <x v="1"/>
    <m/>
    <n v="16031702914.919531"/>
    <n v="39.831000000000003"/>
    <n v="16358586"/>
    <n v="30325732"/>
    <n v="0.52484743031085601"/>
    <x v="102"/>
    <n v="6.81"/>
    <n v="10.91"/>
    <n v="18.690000000000001"/>
    <n v="60.75"/>
  </r>
  <r>
    <x v="1"/>
    <x v="3"/>
    <m/>
    <n v="6600000000"/>
    <n v="42.679000000000002"/>
    <n v="247944.70935895698"/>
    <n v="521021"/>
    <n v="0.47588237203290651"/>
    <x v="81"/>
    <n v="9.52"/>
    <n v="13.84"/>
    <n v="20.98"/>
    <n v="50.5"/>
  </r>
  <r>
    <x v="0"/>
    <x v="3"/>
    <m/>
    <n v="1788886821046.8132"/>
    <n v="35.457999999999998"/>
    <n v="99097402"/>
    <n v="128455567"/>
    <n v="0.45761803392635336"/>
    <x v="103"/>
    <n v="9.48"/>
    <n v="13.72"/>
    <n v="20.64"/>
    <n v="51.13"/>
  </r>
  <r>
    <x v="5"/>
    <x v="3"/>
    <s v="Asia and the Pacific: Upper-middle income"/>
    <n v="284000000"/>
    <n v="51.8"/>
    <n v="27965"/>
    <n v="41996"/>
    <n v="0.56334888725105747"/>
    <x v="104"/>
    <n v="11.04"/>
    <n v="15.87"/>
    <n v="22.75"/>
    <n v="44.15"/>
  </r>
  <r>
    <x v="3"/>
    <x v="3"/>
    <m/>
    <n v="14761237042.205698"/>
    <n v="44.454000000000001"/>
    <n v="1521038"/>
    <n v="1811980"/>
    <n v="0.38924584446845206"/>
    <x v="105"/>
    <n v="12.49"/>
    <n v="17.920000000000002"/>
    <n v="24.28"/>
    <n v="39.11"/>
  </r>
  <r>
    <x v="2"/>
    <x v="1"/>
    <m/>
    <n v="20904898296.250145"/>
    <n v="38.020000000000003"/>
    <n v="11389517"/>
    <n v="23293698"/>
    <n v="0.35440914878954605"/>
    <x v="106"/>
    <n v="10.73"/>
    <n v="15.45"/>
    <n v="21.6"/>
    <n v="46.49"/>
  </r>
  <r>
    <x v="4"/>
    <x v="0"/>
    <m/>
    <n v="20956999452.431664"/>
    <n v="52.137"/>
    <n v="452605"/>
    <n v="553214"/>
    <n v="0.55580827432203694"/>
    <x v="107"/>
    <n v="13.04"/>
    <n v="16.95"/>
    <n v="22.42"/>
    <n v="39.46"/>
  </r>
  <r>
    <x v="5"/>
    <x v="2"/>
    <m/>
    <n v="64815031669.095245"/>
    <n v="44.095999999999997"/>
    <n v="22378423.866395596"/>
    <n v="54577997"/>
    <n v="0.41002647763705208"/>
    <x v="108"/>
    <n v="11.92"/>
    <n v="15.86"/>
    <n v="21.14"/>
    <n v="43.12"/>
  </r>
  <r>
    <x v="3"/>
    <x v="3"/>
    <m/>
    <n v="7404541964.5077915"/>
    <n v="46.494999999999997"/>
    <n v="499790"/>
    <n v="616177"/>
    <n v="0.4026454400668813"/>
    <x v="109"/>
    <n v="12.13"/>
    <n v="17.190000000000001"/>
    <n v="23.62"/>
    <n v="40.81"/>
  </r>
  <r>
    <x v="5"/>
    <x v="2"/>
    <m/>
    <n v="19872180369.627499"/>
    <n v="34.448999999999998"/>
    <n v="2159568"/>
    <n v="3447157"/>
    <n v="0.39048383840940026"/>
    <x v="110"/>
    <n v="11.43"/>
    <n v="15.78"/>
    <n v="21.75"/>
    <n v="43.77"/>
  </r>
  <r>
    <x v="5"/>
    <x v="0"/>
    <s v="Asia and the Pacific: High income"/>
    <n v="12215878032.716585"/>
    <n v="55.2"/>
    <n v="25629.709476910139"/>
    <n v="49796"/>
    <n v="0.51469414163607796"/>
    <x v="8"/>
    <e v="#N/A"/>
    <e v="#N/A"/>
    <e v="#N/A"/>
    <e v="#N/A"/>
  </r>
  <r>
    <x v="2"/>
    <x v="1"/>
    <m/>
    <n v="20624597846.549507"/>
    <n v="52.03"/>
    <n v="15044873.216143591"/>
    <n v="33897354"/>
    <n v="0.44383621258885253"/>
    <x v="111"/>
    <n v="6.35"/>
    <n v="10.29"/>
    <n v="17.52"/>
    <n v="63.37"/>
  </r>
  <r>
    <x v="2"/>
    <x v="2"/>
    <m/>
    <n v="10452577062.75806"/>
    <n v="38.267000000000003"/>
    <n v="1081578.7439882993"/>
    <n v="4862989"/>
    <n v="0.22241027976585992"/>
    <x v="112"/>
    <n v="8.42"/>
    <n v="13.07"/>
    <n v="20"/>
    <n v="54.36"/>
  </r>
  <r>
    <x v="2"/>
    <x v="3"/>
    <m/>
    <n v="14397127281.382942"/>
    <n v="43.795999999999999"/>
    <n v="1011000"/>
    <n v="1261041"/>
    <n v="0.45689068634789226"/>
    <x v="113"/>
    <n v="8.52"/>
    <n v="11.83"/>
    <n v="18.010000000000002"/>
    <n v="55.79"/>
  </r>
  <r>
    <x v="2"/>
    <x v="1"/>
    <m/>
    <n v="14084341062.367504"/>
    <n v="36.218000000000004"/>
    <n v="8150605.9188944716"/>
    <n v="20931751"/>
    <n v="0.38938958899780873"/>
    <x v="114"/>
    <n v="7.43"/>
    <n v="11.44"/>
    <n v="18.93"/>
    <n v="58.42"/>
  </r>
  <r>
    <x v="5"/>
    <x v="3"/>
    <m/>
    <n v="399648828546.50427"/>
    <n v="42.582000000000001"/>
    <n v="23132300"/>
    <n v="34308525"/>
    <n v="0.49156657327442121"/>
    <x v="115"/>
    <n v="10.1"/>
    <n v="14.81"/>
    <n v="22"/>
    <n v="47.27"/>
  </r>
  <r>
    <x v="2"/>
    <x v="3"/>
    <m/>
    <n v="12351024843.746696"/>
    <n v="51.738"/>
    <n v="806176.66600545694"/>
    <n v="2604172"/>
    <n v="0.30957120574426611"/>
    <x v="116"/>
    <n v="4.83"/>
    <n v="9.06"/>
    <n v="17.829999999999998"/>
    <n v="66.19"/>
  </r>
  <r>
    <x v="5"/>
    <x v="0"/>
    <m/>
    <n v="9623318718.3145943"/>
    <n v="52.12"/>
    <n v="212050"/>
    <n v="267940"/>
    <n v="0.43204442463412823"/>
    <x v="8"/>
    <e v="#N/A"/>
    <e v="#N/A"/>
    <e v="#N/A"/>
    <e v="#N/A"/>
  </r>
  <r>
    <x v="2"/>
    <x v="1"/>
    <m/>
    <n v="16819170420.565317"/>
    <n v="27.259"/>
    <n v="11806477"/>
    <n v="27202843"/>
    <n v="0.38853559738700932"/>
    <x v="117"/>
    <n v="7.71"/>
    <n v="11.48"/>
    <n v="18.510000000000002"/>
    <n v="58.01"/>
  </r>
  <r>
    <x v="2"/>
    <x v="2"/>
    <m/>
    <n v="362814951696.07275"/>
    <n v="73.17"/>
    <n v="93378309"/>
    <n v="223804632"/>
    <n v="0.33409352099685435"/>
    <x v="118"/>
    <n v="11.55"/>
    <n v="15.63"/>
    <n v="21.93"/>
    <n v="43.48"/>
  </r>
  <r>
    <x v="0"/>
    <x v="2"/>
    <m/>
    <n v="17829215283.799656"/>
    <n v="46.902999999999999"/>
    <n v="3152924.1418877919"/>
    <n v="7046310"/>
    <n v="0.44745748368831234"/>
    <x v="119"/>
    <n v="8.6"/>
    <n v="13.22"/>
    <n v="19.62"/>
    <n v="54.55"/>
  </r>
  <r>
    <x v="3"/>
    <x v="0"/>
    <m/>
    <n v="1118124749886.2942"/>
    <n v="62.497"/>
    <n v="14629484"/>
    <n v="17879488"/>
    <n v="0.53705935636791224"/>
    <x v="120"/>
    <n v="13.63"/>
    <n v="17.36"/>
    <n v="22.2"/>
    <n v="38.26"/>
  </r>
  <r>
    <x v="3"/>
    <x v="0"/>
    <m/>
    <n v="485513316503.63043"/>
    <n v="46.526000000000003"/>
    <n v="4501139"/>
    <n v="5519594"/>
    <n v="0.52778449172980579"/>
    <x v="121"/>
    <n v="14.39"/>
    <n v="17.93"/>
    <n v="22.64"/>
    <n v="36.4"/>
  </r>
  <r>
    <x v="1"/>
    <x v="2"/>
    <m/>
    <n v="40908073366.84552"/>
    <n v="44.085000000000001"/>
    <n v="8047883.4434236689"/>
    <n v="30896590"/>
    <n v="0.2604780476882293"/>
    <x v="122"/>
    <n v="8.75"/>
    <n v="13.19"/>
    <n v="20.55"/>
    <n v="52.8"/>
  </r>
  <r>
    <x v="5"/>
    <x v="0"/>
    <s v="Asia and the Pacific: High income"/>
    <n v="154127798.19354144"/>
    <n v="55.2"/>
    <n v="7191"/>
    <n v="12780"/>
    <n v="0.51469414163607796"/>
    <x v="123"/>
    <n v="12.35"/>
    <n v="15.88"/>
    <n v="21.41"/>
    <n v="42.93"/>
  </r>
  <r>
    <x v="5"/>
    <x v="0"/>
    <m/>
    <n v="253465703232.14594"/>
    <n v="54.390999999999998"/>
    <n v="4112600.0000000005"/>
    <n v="5223100"/>
    <n v="0.57699888760953144"/>
    <x v="124"/>
    <n v="11.8"/>
    <n v="16.149999999999999"/>
    <n v="22.09"/>
    <n v="42.63"/>
  </r>
  <r>
    <x v="4"/>
    <x v="0"/>
    <m/>
    <n v="108192457737.3212"/>
    <n v="38.343000000000004"/>
    <n v="3675176"/>
    <n v="4644384"/>
    <n v="0.49847453116033963"/>
    <x v="125"/>
    <n v="10.43"/>
    <n v="15.32"/>
    <n v="21.8"/>
    <n v="46.55"/>
  </r>
  <r>
    <x v="1"/>
    <x v="2"/>
    <m/>
    <n v="338368455317.87579"/>
    <n v="46.167999999999999"/>
    <n v="124832819"/>
    <n v="240485658"/>
    <n v="0.32379946860734304"/>
    <x v="106"/>
    <n v="9.39"/>
    <n v="13.34"/>
    <n v="20.13"/>
    <n v="51.43"/>
  </r>
  <r>
    <x v="0"/>
    <x v="0"/>
    <m/>
    <n v="83382400000"/>
    <n v="36.896999999999998"/>
    <n v="3406665"/>
    <n v="4468087"/>
    <n v="0.43903083554549638"/>
    <x v="126"/>
    <n v="7.87"/>
    <n v="12.98"/>
    <n v="20.87"/>
    <n v="55.08"/>
  </r>
  <r>
    <x v="0"/>
    <x v="3"/>
    <m/>
    <n v="267603248655.25269"/>
    <n v="40.991999999999997"/>
    <n v="24856036"/>
    <n v="34352719"/>
    <n v="0.52510893817569837"/>
    <x v="127"/>
    <n v="8.6199999999999992"/>
    <n v="14.21"/>
    <n v="22.25"/>
    <n v="51.73"/>
  </r>
  <r>
    <x v="5"/>
    <x v="2"/>
    <m/>
    <n v="437146372729.94244"/>
    <n v="41.215000000000003"/>
    <n v="76596549"/>
    <n v="117337368"/>
    <n v="0.41854288487364927"/>
    <x v="104"/>
    <n v="9.89"/>
    <n v="13.99"/>
    <n v="20.73"/>
    <n v="49.21"/>
  </r>
  <r>
    <x v="5"/>
    <x v="3"/>
    <s v="Asia and the Pacific: Upper-middle income"/>
    <n v="263020733.717011"/>
    <n v="51.8"/>
    <n v="10172.954205979597"/>
    <n v="18058"/>
    <n v="0.56334888725105747"/>
    <x v="128"/>
    <n v="10.17"/>
    <n v="13.53"/>
    <n v="20.34"/>
    <n v="49.57"/>
  </r>
  <r>
    <x v="5"/>
    <x v="2"/>
    <m/>
    <n v="30932496249.791653"/>
    <n v="32.692999999999998"/>
    <n v="7908840"/>
    <n v="10329931"/>
    <n v="0.30962200197010259"/>
    <x v="78"/>
    <n v="9.89"/>
    <n v="14.82"/>
    <n v="21.71"/>
    <n v="48.46"/>
  </r>
  <r>
    <x v="3"/>
    <x v="0"/>
    <m/>
    <n v="811229100687.56628"/>
    <n v="47.277999999999999"/>
    <n v="29734152"/>
    <n v="36685849"/>
    <n v="0.54278374989737721"/>
    <x v="129"/>
    <n v="13.42"/>
    <n v="17.670000000000002"/>
    <n v="22.63"/>
    <n v="39.22"/>
  </r>
  <r>
    <x v="0"/>
    <x v="0"/>
    <m/>
    <n v="117902300000"/>
    <n v="56.634999999999998"/>
    <n v="1095429.0900583495"/>
    <n v="3205691"/>
    <n v="0.34171387387566349"/>
    <x v="130"/>
    <n v="7.21"/>
    <n v="12.72"/>
    <n v="20.95"/>
    <n v="56.15"/>
  </r>
  <r>
    <x v="5"/>
    <x v="1"/>
    <s v="Asia and the Pacific: High income"/>
    <n v="109703658904.99373"/>
    <n v="55.2"/>
    <n v="15414449.551383583"/>
    <n v="26160821"/>
    <n v="0.58921887624947178"/>
    <x v="131"/>
    <n v="0.2"/>
    <n v="0.2"/>
    <n v="0.2"/>
    <n v="0.2"/>
  </r>
  <r>
    <x v="3"/>
    <x v="0"/>
    <m/>
    <n v="287080013574.49719"/>
    <n v="57.792000000000002"/>
    <n v="8909781"/>
    <n v="10525347"/>
    <n v="0.47402875240256592"/>
    <x v="132"/>
    <n v="12.73"/>
    <n v="16.73"/>
    <n v="22.04"/>
    <n v="40.9"/>
  </r>
  <r>
    <x v="0"/>
    <x v="3"/>
    <m/>
    <n v="42956263543.948166"/>
    <n v="43.396999999999998"/>
    <n v="5291004"/>
    <n v="6861524"/>
    <n v="0.48276029886985855"/>
    <x v="133"/>
    <n v="8.7899999999999991"/>
    <n v="13.84"/>
    <n v="21.49"/>
    <n v="51.61"/>
  </r>
  <r>
    <x v="4"/>
    <x v="3"/>
    <s v="Arab States: Upper-middle income"/>
    <n v="17396300000"/>
    <n v="40.700000000000003"/>
    <n v="1319681.0594551393"/>
    <n v="5165775"/>
    <n v="0.25546622906633359"/>
    <x v="55"/>
    <n v="8.92"/>
    <n v="14.78"/>
    <n v="23.31"/>
    <n v="48.96"/>
  </r>
  <r>
    <x v="5"/>
    <x v="0"/>
    <m/>
    <n v="5814661208.9054441"/>
    <n v="50.914000000000001"/>
    <n v="122405.60278700139"/>
    <n v="308872"/>
    <n v="0.39629879946062252"/>
    <x v="8"/>
    <e v="#N/A"/>
    <e v="#N/A"/>
    <e v="#N/A"/>
    <e v="#N/A"/>
  </r>
  <r>
    <x v="4"/>
    <x v="0"/>
    <m/>
    <n v="235770403734.89999"/>
    <n v="27.395"/>
    <n v="2439347"/>
    <n v="2716391"/>
    <n v="0.75417216734530013"/>
    <x v="18"/>
    <n v="11.69"/>
    <n v="16.84"/>
    <n v="23.33"/>
    <n v="41.4"/>
  </r>
  <r>
    <x v="3"/>
    <x v="0"/>
    <m/>
    <n v="351002579629.6701"/>
    <n v="41.421999999999997"/>
    <n v="15957306"/>
    <n v="19056116"/>
    <n v="0.42843855431579836"/>
    <x v="134"/>
    <n v="12.04"/>
    <n v="17.77"/>
    <n v="24.19"/>
    <n v="40.49"/>
  </r>
  <r>
    <x v="3"/>
    <x v="3"/>
    <m/>
    <n v="2021421476035.417"/>
    <n v="51.222000000000001"/>
    <n v="120283303"/>
    <n v="143826130"/>
    <n v="0.48824058121091635"/>
    <x v="135"/>
    <n v="11.8"/>
    <n v="16.27"/>
    <n v="22.63"/>
    <n v="42.33"/>
  </r>
  <r>
    <x v="2"/>
    <x v="1"/>
    <m/>
    <n v="14097768647.669519"/>
    <n v="38.146000000000001"/>
    <n v="8296027"/>
    <n v="14094683"/>
    <n v="0.32616973965749996"/>
    <x v="136"/>
    <n v="6.66"/>
    <n v="10.5"/>
    <n v="18.02"/>
    <n v="61.74"/>
  </r>
  <r>
    <x v="4"/>
    <x v="0"/>
    <m/>
    <n v="1067582933333.3334"/>
    <n v="30.128"/>
    <n v="16323863.700522978"/>
    <n v="36947025"/>
    <n v="0.44181808144290313"/>
    <x v="18"/>
    <n v="11.69"/>
    <n v="16.84"/>
    <n v="23.33"/>
    <n v="41.4"/>
  </r>
  <r>
    <x v="2"/>
    <x v="1"/>
    <m/>
    <n v="109327023588.73239"/>
    <n v="37.470999999999997"/>
    <n v="25873230"/>
    <n v="48109006"/>
    <n v="0.22957977057061066"/>
    <x v="137"/>
    <n v="7.56"/>
    <n v="11.37"/>
    <n v="18.28"/>
    <n v="58.79"/>
  </r>
  <r>
    <x v="2"/>
    <x v="2"/>
    <m/>
    <n v="31013986429.186058"/>
    <n v="43.664999999999999"/>
    <n v="10857311"/>
    <n v="17763163"/>
    <n v="0.29460162415516022"/>
    <x v="138"/>
    <n v="7.41"/>
    <n v="11.71"/>
    <n v="18.690000000000001"/>
    <n v="58.37"/>
  </r>
  <r>
    <x v="5"/>
    <x v="0"/>
    <m/>
    <n v="501427500080.05853"/>
    <n v="44.305"/>
    <n v="3484120"/>
    <n v="5917648"/>
    <n v="0.63166703979512584"/>
    <x v="139"/>
    <n v="10.6"/>
    <n v="16.18"/>
    <n v="23.27"/>
    <n v="45.18"/>
  </r>
  <r>
    <x v="5"/>
    <x v="2"/>
    <m/>
    <n v="1631286701.1151562"/>
    <n v="43.356999999999999"/>
    <n v="384598.3111561524"/>
    <n v="740424"/>
    <n v="0.51942982825536776"/>
    <x v="140"/>
    <n v="10.82"/>
    <n v="15.04"/>
    <n v="21.08"/>
    <n v="46.52"/>
  </r>
  <r>
    <x v="2"/>
    <x v="1"/>
    <m/>
    <n v="3809832236.9595933"/>
    <n v="40.393000000000001"/>
    <n v="2879898.1822007182"/>
    <n v="8791092"/>
    <n v="0.32759277029528505"/>
    <x v="141"/>
    <n v="7.91"/>
    <n v="11.72"/>
    <n v="18.93"/>
    <n v="56.95"/>
  </r>
  <r>
    <x v="0"/>
    <x v="3"/>
    <m/>
    <n v="34015620000.000004"/>
    <n v="52.292999999999999"/>
    <n v="4875200"/>
    <n v="6364943"/>
    <n v="0.44047211725537183"/>
    <x v="103"/>
    <n v="10.220000000000001"/>
    <n v="15.13"/>
    <n v="21.64"/>
    <n v="47.99"/>
  </r>
  <r>
    <x v="3"/>
    <x v="0"/>
    <s v="Europe and Central Asia: High income"/>
    <n v="85584105993.874588"/>
    <n v="57.4"/>
    <n v="23014"/>
    <n v="33642"/>
    <n v="0.58921887624947178"/>
    <x v="30"/>
    <n v="12.84"/>
    <n v="17.21"/>
    <n v="22.81"/>
    <n v="39.81"/>
  </r>
  <r>
    <x v="2"/>
    <x v="1"/>
    <m/>
    <n v="11679800110.152267"/>
    <n v="35.067999999999998"/>
    <n v="2729995.4448717209"/>
    <n v="18143378"/>
    <n v="0.15046787014368113"/>
    <x v="142"/>
    <n v="7"/>
    <n v="11.89"/>
    <n v="20.420000000000002"/>
    <n v="58.17"/>
  </r>
  <r>
    <x v="3"/>
    <x v="3"/>
    <m/>
    <n v="75187125426.737549"/>
    <n v="52.329000000000001"/>
    <n v="5699357"/>
    <n v="6618026"/>
    <n v="0.49797680198317973"/>
    <x v="143"/>
    <n v="14"/>
    <n v="17.97"/>
    <n v="23.08"/>
    <n v="36.659999999999997"/>
  </r>
  <r>
    <x v="2"/>
    <x v="1"/>
    <m/>
    <n v="649206262.8475188"/>
    <n v="40.5"/>
    <n v="3996355.0275766039"/>
    <n v="11088796"/>
    <n v="0.36039575690423054"/>
    <x v="144"/>
    <n v="5.81"/>
    <n v="10.95"/>
    <n v="20.18"/>
    <n v="61.54"/>
  </r>
  <r>
    <x v="2"/>
    <x v="2"/>
    <s v="Sub-Saharan Africa: Lower-middle income"/>
    <n v="603240748.95420671"/>
    <n v="55.4"/>
    <n v="66804.669891811063"/>
    <n v="231856"/>
    <n v="0.28813000263875449"/>
    <x v="145"/>
    <n v="7.06"/>
    <n v="11.43"/>
    <n v="18.25"/>
    <n v="59.95"/>
  </r>
  <r>
    <x v="0"/>
    <x v="3"/>
    <m/>
    <n v="3782437296.0432286"/>
    <n v="49.323"/>
    <n v="232111.14092291761"/>
    <n v="623236"/>
    <n v="0.37242896899877032"/>
    <x v="146"/>
    <n v="6.25"/>
    <n v="12.17"/>
    <n v="20.04"/>
    <n v="60.51"/>
  </r>
  <r>
    <x v="3"/>
    <x v="0"/>
    <s v="Europe and Central Asia: High income"/>
    <n v="132793622283.07097"/>
    <n v="57.4"/>
    <n v="2836422.3519556858"/>
    <n v="5426740"/>
    <n v="0.52267518841066385"/>
    <x v="147"/>
    <n v="15.36"/>
    <n v="19.079999999999998"/>
    <n v="23.08"/>
    <n v="32.94"/>
  </r>
  <r>
    <x v="3"/>
    <x v="0"/>
    <m/>
    <n v="68216781410.522774"/>
    <n v="59.841000000000001"/>
    <n v="1742939"/>
    <n v="2120937"/>
    <n v="0.48189334588392158"/>
    <x v="148"/>
    <n v="14.52"/>
    <n v="18.14"/>
    <n v="22.66"/>
    <n v="34.94"/>
  </r>
  <r>
    <x v="3"/>
    <x v="0"/>
    <m/>
    <n v="593267701033.4082"/>
    <n v="53.655000000000001"/>
    <n v="8464014"/>
    <n v="10536632"/>
    <n v="0.51617883613534199"/>
    <x v="149"/>
    <n v="13.85"/>
    <n v="17.39"/>
    <n v="22.83"/>
    <n v="37.71"/>
  </r>
  <r>
    <x v="2"/>
    <x v="2"/>
    <m/>
    <n v="4597855845.042758"/>
    <n v="42.572000000000003"/>
    <n v="790862"/>
    <n v="1210822"/>
    <n v="0.26229830153037026"/>
    <x v="150"/>
    <n v="4.6100000000000003"/>
    <n v="8.7100000000000009"/>
    <n v="16.61"/>
    <n v="68.73"/>
  </r>
  <r>
    <x v="0"/>
    <x v="0"/>
    <s v="Latin America and the Caribbean: High income"/>
    <n v="1623165683.1284916"/>
    <n v="49.5"/>
    <n v="17673.323827442608"/>
    <n v="41163"/>
    <n v="0.42934975165664818"/>
    <x v="0"/>
    <n v="8.52"/>
    <n v="13.03"/>
    <n v="20.2"/>
    <n v="54.21"/>
  </r>
  <r>
    <x v="2"/>
    <x v="0"/>
    <s v="Sub-Saharan Africa: Low income"/>
    <n v="2141450171.1393213"/>
    <n v="40.200000000000003"/>
    <n v="42627.994928050408"/>
    <n v="119773"/>
    <n v="0.35590654761966728"/>
    <x v="151"/>
    <n v="12.64"/>
    <n v="17.61"/>
    <n v="23.61"/>
    <n v="39.1"/>
  </r>
  <r>
    <x v="4"/>
    <x v="1"/>
    <m/>
    <n v="19309463508.037678"/>
    <n v="34.847999999999999"/>
    <n v="5735075.2165761394"/>
    <n v="23227014"/>
    <n v="0.24691401213156969"/>
    <x v="152"/>
    <n v="11.72"/>
    <n v="15.83"/>
    <n v="21.94"/>
    <n v="43.1"/>
  </r>
  <r>
    <x v="0"/>
    <x v="0"/>
    <s v="Latin America and the Caribbean: High income"/>
    <n v="1402054390.94734"/>
    <n v="49.5"/>
    <n v="19776.708260808529"/>
    <n v="46062"/>
    <n v="0.42934975165664818"/>
    <x v="0"/>
    <n v="8.52"/>
    <n v="13.03"/>
    <n v="20.2"/>
    <n v="54.21"/>
  </r>
  <r>
    <x v="2"/>
    <x v="1"/>
    <m/>
    <n v="13149325358.73826"/>
    <n v="42.012"/>
    <n v="5928919.386521088"/>
    <n v="18278568"/>
    <n v="0.32436454466898546"/>
    <x v="153"/>
    <n v="7.53"/>
    <n v="11.64"/>
    <n v="19.27"/>
    <n v="57.68"/>
  </r>
  <r>
    <x v="2"/>
    <x v="1"/>
    <m/>
    <n v="9171261835.0626411"/>
    <n v="36.761000000000003"/>
    <n v="4859735"/>
    <n v="9053799"/>
    <n v="0.34444543768524616"/>
    <x v="154"/>
    <n v="6.7"/>
    <n v="10.97"/>
    <n v="19.05"/>
    <n v="60.38"/>
  </r>
  <r>
    <x v="5"/>
    <x v="3"/>
    <m/>
    <n v="514944993833.57758"/>
    <n v="47.616"/>
    <n v="58623726"/>
    <n v="71801279"/>
    <n v="0.56417984120123243"/>
    <x v="155"/>
    <n v="10.88"/>
    <n v="15.93"/>
    <n v="23.01"/>
    <n v="43.74"/>
  </r>
  <r>
    <x v="3"/>
    <x v="2"/>
    <m/>
    <n v="12060602008.847782"/>
    <n v="17.866"/>
    <n v="2540608.8204472777"/>
    <n v="10143543"/>
    <n v="0.2504656233475106"/>
    <x v="128"/>
    <n v="11.66"/>
    <n v="16.39"/>
    <n v="22.85"/>
    <n v="42.69"/>
  </r>
  <r>
    <x v="3"/>
    <x v="3"/>
    <m/>
    <n v="59887334844.06514"/>
    <n v="46.814999999999998"/>
    <n v="2101911.0642426955"/>
    <n v="6516100"/>
    <n v="0.32257194706077186"/>
    <x v="156"/>
    <n v="10.39"/>
    <n v="15.04"/>
    <n v="22.19"/>
    <n v="46.99"/>
  </r>
  <r>
    <x v="5"/>
    <x v="2"/>
    <m/>
    <n v="2243142908.4616103"/>
    <n v="19.538"/>
    <n v="873931"/>
    <n v="1360596"/>
    <n v="0.43699750092447903"/>
    <x v="157"/>
    <n v="12.24"/>
    <n v="16.05"/>
    <n v="21.33"/>
    <n v="41.97"/>
  </r>
  <r>
    <x v="5"/>
    <x v="3"/>
    <m/>
    <n v="500274898.08522147"/>
    <n v="42.84"/>
    <n v="64858.999999999993"/>
    <n v="107773"/>
    <n v="0.351625521720414"/>
    <x v="158"/>
    <n v="10.8"/>
    <n v="15.5"/>
    <n v="22.08"/>
    <n v="45.68"/>
  </r>
  <r>
    <x v="0"/>
    <x v="0"/>
    <m/>
    <n v="28139944790.291103"/>
    <n v="44.838000000000001"/>
    <n v="1081704"/>
    <n v="1534937"/>
    <n v="0.42922737687486445"/>
    <x v="159"/>
    <n v="10.34"/>
    <n v="15.53"/>
    <n v="22.73"/>
    <n v="45.9"/>
  </r>
  <r>
    <x v="4"/>
    <x v="2"/>
    <m/>
    <n v="48529595416.653259"/>
    <n v="48.784999999999997"/>
    <n v="8876668"/>
    <n v="12458223"/>
    <n v="0.29603272613880233"/>
    <x v="160"/>
    <n v="10.62"/>
    <n v="15.2"/>
    <n v="22"/>
    <n v="46.02"/>
  </r>
  <r>
    <x v="3"/>
    <x v="3"/>
    <m/>
    <n v="1108022373259.511"/>
    <n v="32.204999999999998"/>
    <n v="64678323"/>
    <n v="85326000"/>
    <n v="0.37506452848451377"/>
    <x v="161"/>
    <n v="9.68"/>
    <n v="14.02"/>
    <n v="20.62"/>
    <n v="50.59"/>
  </r>
  <r>
    <x v="5"/>
    <x v="3"/>
    <s v="Asia and the Pacific: Upper-middle income"/>
    <n v="62280311.585217156"/>
    <n v="51.8"/>
    <n v="7246"/>
    <n v="11396"/>
    <n v="0.56334888725105747"/>
    <x v="162"/>
    <n v="10.41"/>
    <n v="15.28"/>
    <n v="22.12"/>
    <n v="46.45"/>
  </r>
  <r>
    <x v="5"/>
    <x v="0"/>
    <m/>
    <n v="14915002436.069025"/>
    <n v="51.856000000000002"/>
    <n v="12131340.918362357"/>
    <n v="23570000"/>
    <n v="0.51469414163607796"/>
    <x v="163"/>
    <n v="12.73"/>
    <n v="16.690000000000001"/>
    <n v="22.21"/>
    <n v="40.11"/>
  </r>
  <r>
    <x v="2"/>
    <x v="2"/>
    <s v="Sub-Saharan Africa: Lower-middle income"/>
    <n v="79158286333.523987"/>
    <n v="55.4"/>
    <n v="31322496.245074444"/>
    <n v="67438106"/>
    <n v="0.46446286977683571"/>
    <x v="164"/>
    <n v="7.12"/>
    <n v="11.11"/>
    <n v="18.03"/>
    <n v="60.09"/>
  </r>
  <r>
    <x v="2"/>
    <x v="1"/>
    <m/>
    <n v="49272882213.623001"/>
    <n v="39.256999999999998"/>
    <n v="23449350"/>
    <n v="48582334"/>
    <n v="0.38821960023564228"/>
    <x v="94"/>
    <n v="6.8"/>
    <n v="10.82"/>
    <n v="18.399999999999999"/>
    <n v="60.86"/>
  </r>
  <r>
    <x v="3"/>
    <x v="2"/>
    <m/>
    <n v="178757021386.80896"/>
    <n v="48.555999999999997"/>
    <n v="31854521"/>
    <n v="37000000"/>
    <n v="0.34025556053165595"/>
    <x v="165"/>
    <n v="13.3"/>
    <n v="17.329999999999998"/>
    <n v="22.67"/>
    <n v="38.32"/>
  </r>
  <r>
    <x v="0"/>
    <x v="0"/>
    <m/>
    <n v="77240831587.166962"/>
    <n v="55.393000000000001"/>
    <n v="2857369"/>
    <n v="3423108"/>
    <n v="0.47511565113179466"/>
    <x v="166"/>
    <n v="10.09"/>
    <n v="14.93"/>
    <n v="22.41"/>
    <n v="46.88"/>
  </r>
  <r>
    <x v="6"/>
    <x v="0"/>
    <s v="United States of America"/>
    <n v="27360935000000"/>
    <n v="58.823999999999998"/>
    <n v="167636970.29403338"/>
    <n v="334914895"/>
    <n v="0.50053602511179263"/>
    <x v="167"/>
    <n v="10.17"/>
    <n v="15.2"/>
    <n v="22.48"/>
    <n v="47.01"/>
  </r>
  <r>
    <x v="3"/>
    <x v="2"/>
    <m/>
    <n v="90889149306.731262"/>
    <n v="46.069000000000003"/>
    <n v="13467191.625085209"/>
    <n v="36412350"/>
    <n v="0.3698523062940241"/>
    <x v="168"/>
    <n v="11.68"/>
    <n v="15.96"/>
    <n v="22.05"/>
    <n v="43.94"/>
  </r>
  <r>
    <x v="0"/>
    <x v="3"/>
    <s v="Latin America and the Caribbean: Upper-middle income"/>
    <n v="1065962962.9629629"/>
    <n v="47.5"/>
    <n v="43092.111517297111"/>
    <n v="103698"/>
    <n v="0.41555393081155961"/>
    <x v="119"/>
    <n v="8.84"/>
    <n v="13.71"/>
    <n v="20.67"/>
    <n v="52.78"/>
  </r>
  <r>
    <x v="0"/>
    <x v="2"/>
    <s v="Latin America and the Caribbean: Lower-middle income"/>
    <n v="88191977373.211975"/>
    <n v="53.6"/>
    <n v="11072667.860379815"/>
    <n v="28838499"/>
    <n v="0.38395437503109353"/>
    <x v="169"/>
    <n v="11.12"/>
    <n v="15.93"/>
    <n v="22.74"/>
    <n v="43.99"/>
  </r>
  <r>
    <x v="0"/>
    <x v="0"/>
    <s v="Latin America and the Caribbean: High income"/>
    <n v="348516647445.14844"/>
    <n v="49.5"/>
    <n v="13540.83246774737"/>
    <n v="31538"/>
    <n v="0.42934975165664818"/>
    <x v="0"/>
    <n v="8.52"/>
    <n v="13.03"/>
    <n v="20.2"/>
    <n v="54.21"/>
  </r>
  <r>
    <x v="0"/>
    <x v="0"/>
    <s v="Latin America and the Caribbean: High income"/>
    <n v="67406738100"/>
    <n v="49.5"/>
    <n v="38168.556373502317"/>
    <n v="104917"/>
    <n v="0.36379763406790433"/>
    <x v="8"/>
    <e v="#N/A"/>
    <e v="#N/A"/>
    <e v="#N/A"/>
    <e v="#N/A"/>
  </r>
  <r>
    <x v="5"/>
    <x v="2"/>
    <s v="Asia and the Pacific: Lower-middle income"/>
    <n v="429716969049.59277"/>
    <n v="50.8"/>
    <n v="55598329.043348223"/>
    <n v="98858950"/>
    <n v="0.56240056204671629"/>
    <x v="170"/>
    <n v="11.6"/>
    <n v="16.190000000000001"/>
    <n v="22.32"/>
    <n v="43.37"/>
  </r>
  <r>
    <x v="5"/>
    <x v="2"/>
    <m/>
    <n v="1126313359.2192256"/>
    <n v="59.654000000000003"/>
    <n v="137419.37281630654"/>
    <n v="334506"/>
    <n v="0.41081287874150701"/>
    <x v="171"/>
    <n v="11.56"/>
    <n v="16.27"/>
    <n v="22.15"/>
    <n v="43.04"/>
  </r>
  <r>
    <x v="5"/>
    <x v="2"/>
    <m/>
    <n v="934100336.27565384"/>
    <n v="41.101999999999997"/>
    <n v="127758"/>
    <n v="225681"/>
    <n v="0.31298846129632796"/>
    <x v="172"/>
    <n v="10.61"/>
    <n v="14.63"/>
    <n v="20.54"/>
    <n v="47.81"/>
  </r>
  <r>
    <x v="3"/>
    <x v="3"/>
    <s v="Europe and Central Asia: Upper-middle income"/>
    <n v="10438351483.167696"/>
    <n v="44.3"/>
    <n v="1388638"/>
    <n v="1756374"/>
    <n v="0.20768101741600536"/>
    <x v="173"/>
    <n v="10.4"/>
    <n v="15.74"/>
    <n v="23.5"/>
    <n v="46.62"/>
  </r>
  <r>
    <x v="4"/>
    <x v="1"/>
    <s v="Arab States: Low income"/>
    <n v="681346077608.6073"/>
    <n v="35"/>
    <n v="5803004.9036262222"/>
    <n v="34449825"/>
    <n v="0.16844802270044107"/>
    <x v="160"/>
    <n v="10.73"/>
    <n v="15.12"/>
    <n v="21.54"/>
    <n v="46.43"/>
  </r>
  <r>
    <x v="2"/>
    <x v="3"/>
    <m/>
    <n v="377781600985.87311"/>
    <n v="58.639000000000003"/>
    <n v="44077580"/>
    <n v="60414495"/>
    <n v="0.30077227416454955"/>
    <x v="174"/>
    <n v="3.79"/>
    <n v="7.45"/>
    <n v="16.11"/>
    <n v="71.09"/>
  </r>
  <r>
    <x v="2"/>
    <x v="2"/>
    <m/>
    <n v="28162630953.928501"/>
    <n v="33.786999999999999"/>
    <n v="10377385"/>
    <n v="20569737"/>
    <n v="0.33738498601860606"/>
    <x v="175"/>
    <n v="4.08"/>
    <n v="8.56"/>
    <n v="17.05"/>
    <n v="69.38"/>
  </r>
  <r>
    <x v="2"/>
    <x v="2"/>
    <m/>
    <n v="26538273498.846142"/>
    <n v="52.637"/>
    <n v="9208500"/>
    <n v="16665409"/>
    <n v="0.36534796618518128"/>
    <x v="176"/>
    <n v="6.18"/>
    <n v="10.45"/>
    <n v="18.149999999999999"/>
    <n v="62.24"/>
  </r>
  <r>
    <x v="7"/>
    <x v="4"/>
    <m/>
    <m/>
    <m/>
    <m/>
    <m/>
    <m/>
    <x v="177"/>
    <m/>
    <m/>
    <m/>
    <m/>
  </r>
  <r>
    <x v="7"/>
    <x v="4"/>
    <m/>
    <m/>
    <m/>
    <m/>
    <m/>
    <m/>
    <x v="177"/>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
  <r>
    <s v="Àgora"/>
    <n v="2025"/>
    <s v="Spain"/>
    <s v="ESP"/>
    <s v="Own operations"/>
    <x v="0"/>
    <x v="0"/>
    <s v="Local Community"/>
    <s v="Ecosystem services"/>
    <s v="Ecosystem services"/>
    <s v="Air quality regulation"/>
    <s v="Natural Capital"/>
    <n v="7.0000000000000007E-2"/>
    <s v="ha/year"/>
    <n v="1"/>
    <n v="1"/>
    <n v="1"/>
    <n v="1"/>
    <s v="year"/>
    <n v="15952"/>
    <s v="EUR/ha"/>
    <n v="1116.6400000000001"/>
    <s v="EUR"/>
    <n v="1"/>
    <s v="EUR impact/EUR"/>
    <n v="1116.6400000000001"/>
    <n v="0.56911995207157595"/>
    <s v="EUR impact/EUR"/>
    <n v="635.50210328120465"/>
    <m/>
    <n v="0"/>
  </r>
  <r>
    <s v="Àgora"/>
    <n v="2025"/>
    <s v="Spain"/>
    <s v="ESP"/>
    <s v="Own operations"/>
    <x v="0"/>
    <x v="1"/>
    <s v="Local Community"/>
    <s v="Ecosystem services"/>
    <s v="Ecosystem services"/>
    <s v="Climate regulation"/>
    <s v="Natural Capital"/>
    <n v="7.0000000000000007E-2"/>
    <s v="ha/year"/>
    <n v="1"/>
    <n v="1"/>
    <n v="1"/>
    <n v="1"/>
    <s v="year"/>
    <n v="282.874989521538"/>
    <s v="EUR/ha"/>
    <n v="19.801249266507661"/>
    <s v="EUR"/>
    <n v="1"/>
    <s v="EUR impact/EUR"/>
    <n v="19.801249266507661"/>
    <n v="0.56911995207157595"/>
    <s v="EUR impact/EUR"/>
    <n v="11.269286033512168"/>
    <m/>
    <n v="0"/>
  </r>
  <r>
    <s v="Àgora"/>
    <n v="2025"/>
    <s v="Spain"/>
    <s v="ESP"/>
    <s v="Own operations"/>
    <x v="0"/>
    <x v="2"/>
    <s v="Nature"/>
    <s v="Ecosystem services"/>
    <s v="Ecosystem services"/>
    <s v="Habitat &amp; biodiversity"/>
    <s v="Natural Capital"/>
    <n v="7.0000000000000007E-2"/>
    <s v="ha/year"/>
    <n v="1"/>
    <n v="1"/>
    <n v="1"/>
    <n v="1"/>
    <s v="year"/>
    <n v="3000"/>
    <s v="EUR/ha"/>
    <n v="210.00000000000003"/>
    <s v="EUR"/>
    <n v="1"/>
    <s v="EUR impact/EUR"/>
    <n v="210.00000000000003"/>
    <n v="0.56911995207157595"/>
    <s v="EUR impact/EUR"/>
    <n v="119.51518993503096"/>
    <m/>
    <n v="0"/>
  </r>
  <r>
    <s v="Àgora"/>
    <n v="2025"/>
    <s v="Spain"/>
    <s v="ESP"/>
    <s v="Own operations"/>
    <x v="0"/>
    <x v="3"/>
    <s v="Local Community"/>
    <s v="Ecosystem services"/>
    <s v="Ecosystem services"/>
    <s v="Noise regulation"/>
    <s v="Natural Capital"/>
    <n v="7.0000000000000007E-2"/>
    <s v="ha/year"/>
    <n v="1"/>
    <n v="1"/>
    <n v="1"/>
    <n v="1"/>
    <s v="year"/>
    <n v="1000"/>
    <s v="EUR/ha"/>
    <n v="70"/>
    <s v="EUR"/>
    <n v="1"/>
    <s v="EUR impact/EUR"/>
    <n v="70"/>
    <n v="0.56911995207157595"/>
    <s v="EUR impact/EUR"/>
    <n v="39.83839664501032"/>
    <m/>
    <n v="0"/>
  </r>
  <r>
    <s v="Àgora"/>
    <n v="2025"/>
    <s v="Spain"/>
    <s v="ESP"/>
    <s v="Own operations"/>
    <x v="0"/>
    <x v="4"/>
    <s v="Nature"/>
    <s v="Ecosystem services"/>
    <s v="Ecosystem services"/>
    <s v="Pollination services"/>
    <s v="Natural Capital"/>
    <n v="7.0000000000000007E-2"/>
    <s v="ha/year"/>
    <n v="1"/>
    <n v="1"/>
    <n v="1"/>
    <n v="1"/>
    <s v="year"/>
    <n v="2000"/>
    <s v="EUR/ha"/>
    <n v="140"/>
    <s v="EUR"/>
    <n v="1"/>
    <s v="EUR impact/EUR"/>
    <n v="140"/>
    <n v="0.56911995207157595"/>
    <s v="EUR impact/EUR"/>
    <n v="79.67679329002064"/>
    <m/>
    <n v="0"/>
  </r>
  <r>
    <s v="Àgora"/>
    <n v="2025"/>
    <s v="Spain"/>
    <s v="ESP"/>
    <s v="Own operations"/>
    <x v="0"/>
    <x v="5"/>
    <s v="Local Community"/>
    <s v="Ecosystem services"/>
    <s v="Ecosystem services"/>
    <s v="Microclimate regulation"/>
    <s v="Natural Capital"/>
    <n v="7.0000000000000007E-2"/>
    <s v="ha/year"/>
    <n v="1"/>
    <n v="1"/>
    <n v="1"/>
    <n v="1"/>
    <s v="year"/>
    <n v="154285.71428571426"/>
    <s v="EUR/ha"/>
    <n v="10800"/>
    <s v="EUR"/>
    <n v="1"/>
    <s v="EUR impact/EUR"/>
    <n v="10800"/>
    <n v="0.56911995207157595"/>
    <s v="EUR impact/EUR"/>
    <n v="6146.4954823730204"/>
    <m/>
    <n v="0"/>
  </r>
  <r>
    <s v="Àgora"/>
    <n v="2025"/>
    <s v="Spain"/>
    <s v="ESP"/>
    <s v="Own operations"/>
    <x v="0"/>
    <x v="6"/>
    <s v="Local Community"/>
    <s v="Ecosystem services"/>
    <s v="Ecosystem services"/>
    <s v="Cultural / restorative services"/>
    <s v="Natural Capital"/>
    <n v="7.0000000000000007E-2"/>
    <s v="ha/year"/>
    <n v="1"/>
    <n v="1"/>
    <n v="1"/>
    <n v="1"/>
    <s v="year"/>
    <n v="8000"/>
    <s v="EUR/ha"/>
    <n v="560"/>
    <s v="EUR"/>
    <n v="1"/>
    <s v="EUR impact/EUR"/>
    <n v="560"/>
    <n v="0.56911995207157595"/>
    <s v="EUR impact/EUR"/>
    <n v="318.70717316008256"/>
    <m/>
    <n v="0"/>
  </r>
  <r>
    <s v="Àgora"/>
    <n v="2025"/>
    <s v="Spain"/>
    <s v="ESP"/>
    <s v="Own operations"/>
    <x v="1"/>
    <x v="7"/>
    <s v="Local Community"/>
    <s v="Health and well-being"/>
    <s v="Well-being"/>
    <s v="Improved health and wellbeing"/>
    <s v="Human Capital"/>
    <n v="20"/>
    <s v="beneficiaries/year"/>
    <n v="1"/>
    <n v="1"/>
    <n v="1"/>
    <n v="1"/>
    <s v="year"/>
    <n v="6.0999999999999999E-2"/>
    <s v="DALY/beneficiary"/>
    <n v="1.22"/>
    <s v="DALY"/>
    <n v="55879.24"/>
    <s v="EUR impact/DALY"/>
    <n v="68172.6728"/>
    <n v="55879.24"/>
    <s v="EUR impact/DALY"/>
    <n v="68172.6728"/>
    <m/>
    <n v="0"/>
  </r>
  <r>
    <s v="Àgora"/>
    <n v="2025"/>
    <s v="Spain"/>
    <s v="ESP"/>
    <s v="Own operations"/>
    <x v="1"/>
    <x v="8"/>
    <s v="Local Community"/>
    <s v="Health and well-being"/>
    <s v="Well-being"/>
    <s v="Improved health and wellbeing"/>
    <s v="Human Capital"/>
    <n v="40"/>
    <s v="beneficiaries/year"/>
    <n v="1"/>
    <n v="1"/>
    <n v="1"/>
    <n v="1"/>
    <s v="year"/>
    <n v="0.02"/>
    <s v="DALY/beneficiary"/>
    <n v="0.8"/>
    <s v="DALY"/>
    <n v="55879.24"/>
    <s v="EUR impact/DALY"/>
    <n v="44703.392"/>
    <n v="55879.24"/>
    <s v="EUR impact/DALY"/>
    <n v="44703.392"/>
    <m/>
    <n v="0"/>
  </r>
  <r>
    <s v="Àgora"/>
    <n v="2025"/>
    <s v="Spain"/>
    <s v="ESP"/>
    <s v="Own operations"/>
    <x v="1"/>
    <x v="9"/>
    <s v="Local Community"/>
    <s v="Health and well-being"/>
    <s v="Well-being"/>
    <s v="Existence value"/>
    <s v="Social Capital"/>
    <n v="18909.599999999999"/>
    <s v="households/year"/>
    <n v="1"/>
    <n v="1"/>
    <n v="0.4"/>
    <n v="1"/>
    <s v="year"/>
    <n v="5"/>
    <s v="EUR/household"/>
    <n v="37819.199999999997"/>
    <s v="EUR"/>
    <n v="1"/>
    <s v="EUR impact/EUR"/>
    <n v="37819.199999999997"/>
    <n v="0.56911995207157595"/>
    <s v="EUR impact/EUR"/>
    <n v="21523.661291385342"/>
    <m/>
    <n v="0"/>
  </r>
  <r>
    <s v="Àgora"/>
    <n v="2025"/>
    <s v="Spain"/>
    <s v="ESP"/>
    <s v="Own operations"/>
    <x v="2"/>
    <x v="10"/>
    <s v="Local Community"/>
    <s v="Income, wage, and personal finance effects"/>
    <s v="Income"/>
    <s v="Avoided household expenditure"/>
    <s v="Human Capital"/>
    <n v="6000"/>
    <s v="meals/year"/>
    <n v="1"/>
    <n v="1"/>
    <n v="1"/>
    <n v="1"/>
    <s v="year"/>
    <n v="8"/>
    <s v="EUR/meal"/>
    <n v="48000"/>
    <s v="EUR"/>
    <n v="1"/>
    <s v="EUR impact/EUR"/>
    <n v="48000"/>
    <n v="0.56911995207157595"/>
    <s v="EUR impact/EUR"/>
    <n v="27317.757699435646"/>
    <m/>
    <n v="0"/>
  </r>
  <r>
    <s v="Àgora"/>
    <n v="2025"/>
    <s v="Spain"/>
    <s v="ESP"/>
    <s v="Own operations"/>
    <x v="2"/>
    <x v="11"/>
    <s v="Local Community"/>
    <s v="Health and well-being"/>
    <s v="Health"/>
    <s v="Improved health and wellbeing"/>
    <s v="Human Capital"/>
    <n v="6000"/>
    <s v="meals/year"/>
    <n v="0.6"/>
    <n v="1"/>
    <n v="1"/>
    <n v="2.7397260273972603E-3"/>
    <s v="year"/>
    <n v="5.0999999999999997E-2"/>
    <s v="DALY/meal"/>
    <n v="0.50301369863013701"/>
    <s v="DALY"/>
    <n v="55879.24"/>
    <s v="EUR impact/DALY"/>
    <n v="28108.023189041098"/>
    <n v="55879.24"/>
    <s v="EUR impact/DALY"/>
    <n v="28108.023189041098"/>
    <m/>
    <n v="0"/>
  </r>
  <r>
    <s v="Àgora"/>
    <n v="2025"/>
    <s v="Spain"/>
    <s v="ESP"/>
    <s v="Own operations"/>
    <x v="2"/>
    <x v="12"/>
    <s v="State/Local Government"/>
    <s v="Costs to society/state"/>
    <s v="Costs to society"/>
    <s v="Avoided social costs/benefits"/>
    <s v="Social Capital"/>
    <n v="75"/>
    <s v="beneficiaries/year"/>
    <n v="1"/>
    <n v="1"/>
    <n v="1"/>
    <n v="1"/>
    <s v="year"/>
    <n v="700"/>
    <s v="EUR/beneficiary"/>
    <n v="52500"/>
    <s v="EUR"/>
    <n v="1"/>
    <s v="EUR impact/EUR"/>
    <n v="52500"/>
    <n v="2.354758421087829"/>
    <s v="EUR impact/EUR"/>
    <n v="123624.81710711103"/>
    <m/>
    <n v="0"/>
  </r>
  <r>
    <s v="Àgora"/>
    <n v="2025"/>
    <s v="Spain"/>
    <s v="ESP"/>
    <s v="Own operations"/>
    <x v="3"/>
    <x v="13"/>
    <s v="Local Community"/>
    <s v="Income, wage, and personal finance effects"/>
    <s v="Income"/>
    <s v="Change in household finances"/>
    <s v="Human Capital"/>
    <n v="10000"/>
    <s v="meals/year"/>
    <n v="1"/>
    <n v="1"/>
    <n v="1"/>
    <n v="1"/>
    <s v="year"/>
    <n v="3"/>
    <s v="EUR/meal"/>
    <n v="30000"/>
    <s v="EUR"/>
    <n v="1"/>
    <s v="EUR impact/EUR"/>
    <n v="30000"/>
    <n v="0.56911995207157595"/>
    <s v="EUR impact/EUR"/>
    <n v="17073.598562147279"/>
    <m/>
    <n v="0"/>
  </r>
  <r>
    <s v="Àgora"/>
    <n v="2025"/>
    <s v="Spain"/>
    <s v="ESP"/>
    <s v="Own operations"/>
    <x v="4"/>
    <x v="14"/>
    <s v="Local Community"/>
    <s v="Health and well-being"/>
    <s v="Well-being"/>
    <s v="Improved health and wellbeing"/>
    <s v="Human Capital"/>
    <n v="70"/>
    <s v="beneficiaries/year"/>
    <n v="1"/>
    <n v="1"/>
    <n v="1"/>
    <n v="6.8493150684931503E-2"/>
    <s v="year"/>
    <n v="0.14499999999999999"/>
    <s v="DALY/beneficiary"/>
    <n v="0.69520547945205469"/>
    <s v="DALY"/>
    <n v="55879.24"/>
    <s v="EUR impact/DALY"/>
    <n v="38847.553835616432"/>
    <n v="55879.24"/>
    <s v="EUR impact/DALY"/>
    <n v="38847.553835616432"/>
    <m/>
    <n v="0"/>
  </r>
  <r>
    <s v="Àgora"/>
    <n v="2025"/>
    <s v="Spain"/>
    <s v="ESP"/>
    <s v="Own operations"/>
    <x v="4"/>
    <x v="15"/>
    <s v="Local Community"/>
    <s v="Health and well-being"/>
    <s v="Well-being"/>
    <s v="Improved health and wellbeing"/>
    <s v="Human Capital"/>
    <n v="450"/>
    <s v="beneficiaries/year"/>
    <n v="1"/>
    <n v="1"/>
    <n v="1"/>
    <n v="5.4794520547945206E-3"/>
    <s v="year"/>
    <n v="0.14499999999999999"/>
    <s v="DALY/beneficiary"/>
    <n v="0.35753424657534244"/>
    <s v="DALY"/>
    <n v="55879.24"/>
    <s v="EUR impact/DALY"/>
    <n v="19978.741972602736"/>
    <n v="55879.24"/>
    <s v="EUR impact/DALY"/>
    <n v="19978.741972602736"/>
    <m/>
    <n v="0"/>
  </r>
  <r>
    <s v="Àgora"/>
    <n v="2025"/>
    <s v="Spain"/>
    <s v="ESP"/>
    <s v="Own operations"/>
    <x v="5"/>
    <x v="16"/>
    <s v="Local Community"/>
    <s v="Income, wage, and personal finance effects"/>
    <s v="Income"/>
    <s v="Avoided social costs/benefits"/>
    <s v="Social Capital"/>
    <n v="3280"/>
    <s v="volunteer-hours/year"/>
    <n v="1"/>
    <n v="1"/>
    <n v="1"/>
    <n v="1"/>
    <s v="year"/>
    <n v="10"/>
    <s v="EUR/hour"/>
    <n v="32800"/>
    <s v="EUR"/>
    <n v="1"/>
    <s v="EUR impact/EUR"/>
    <n v="32800"/>
    <n v="0.56911995207157595"/>
    <s v="EUR impact/EUR"/>
    <n v="18667.134427947691"/>
    <m/>
    <n v="0"/>
  </r>
  <r>
    <s v="Àgora"/>
    <n v="2025"/>
    <s v="Spain"/>
    <s v="ESP"/>
    <s v="Own operations"/>
    <x v="6"/>
    <x v="17"/>
    <s v="Local Community"/>
    <s v="Health and well-being"/>
    <s v="Well-being"/>
    <s v="Cultural participation"/>
    <s v="Social Capital"/>
    <n v="3000"/>
    <s v="attendances/year"/>
    <n v="1"/>
    <n v="1"/>
    <n v="1"/>
    <n v="1"/>
    <s v="year"/>
    <n v="12"/>
    <s v="EUR/attendance"/>
    <n v="36000"/>
    <s v="EUR"/>
    <n v="1"/>
    <s v="EUR impact/EUR"/>
    <n v="36000"/>
    <n v="0.56911995207157595"/>
    <s v="EUR impact/EUR"/>
    <n v="20488.318274576734"/>
    <m/>
    <n v="0"/>
  </r>
  <r>
    <s v="Àgora"/>
    <n v="2025"/>
    <s v="Spain"/>
    <s v="ESP"/>
    <s v="Own operations"/>
    <x v="1"/>
    <x v="18"/>
    <s v="Local Community"/>
    <s v="Costs to society/state"/>
    <s v="Costs to society"/>
    <s v="Avoided social costs/benefits"/>
    <s v="Social Capital"/>
    <n v="240"/>
    <s v="sessions/year"/>
    <n v="1"/>
    <n v="1"/>
    <n v="1"/>
    <n v="1"/>
    <s v="year"/>
    <n v="200"/>
    <s v="EUR/session"/>
    <n v="48000"/>
    <s v="EUR"/>
    <n v="1"/>
    <s v="EUR impact/EUR"/>
    <n v="48000"/>
    <n v="2.354758421087829"/>
    <s v="EUR impact/EUR"/>
    <n v="113028.40421221578"/>
    <m/>
    <n v="0"/>
  </r>
  <r>
    <s v="Àgora"/>
    <n v="2025"/>
    <s v="Spain"/>
    <s v="ESP"/>
    <s v="Own operations"/>
    <x v="7"/>
    <x v="19"/>
    <s v="Local Community"/>
    <s v="Income, wage, and personal finance effects"/>
    <s v="Income"/>
    <s v="Avoided household expenditure"/>
    <s v="Human Capital"/>
    <n v="20"/>
    <s v="beneficiaries/year"/>
    <n v="1"/>
    <n v="1"/>
    <n v="1"/>
    <n v="1"/>
    <s v="year"/>
    <n v="500"/>
    <s v="EUR/beneficiary"/>
    <n v="10000"/>
    <s v="EUR"/>
    <n v="1"/>
    <s v="EUR impact/EUR"/>
    <n v="10000"/>
    <n v="0.56911995207157595"/>
    <s v="EUR impact/EUR"/>
    <n v="5691.1995207157597"/>
    <m/>
    <n v="0"/>
  </r>
  <r>
    <s v="Àgora"/>
    <n v="2025"/>
    <s v="Spain"/>
    <s v="ESP"/>
    <s v="Own operations"/>
    <x v="7"/>
    <x v="20"/>
    <s v="Local Community"/>
    <s v="Health and well-being"/>
    <s v="Health"/>
    <s v="Improved health and wellbeing"/>
    <s v="Human Capital"/>
    <n v="20"/>
    <s v="beneficiaries/year"/>
    <n v="0.8"/>
    <n v="0.6"/>
    <n v="1"/>
    <n v="0.5"/>
    <s v="year"/>
    <n v="0.13300000000000001"/>
    <s v="DALY/beneficiary"/>
    <n v="0.63839999999999997"/>
    <s v="DALY"/>
    <n v="55879.24"/>
    <s v="EUR impact/DALY"/>
    <n v="35673.306815999997"/>
    <n v="55879.24"/>
    <s v="EUR impact/DALY"/>
    <n v="35673.306815999997"/>
    <m/>
    <n v="0"/>
  </r>
  <r>
    <s v="Àgora"/>
    <n v="2025"/>
    <s v="Spain"/>
    <s v="ESP"/>
    <s v="Own operations"/>
    <x v="7"/>
    <x v="21"/>
    <s v="State/Local Government"/>
    <s v="Costs to society/state"/>
    <s v="Costs to society"/>
    <s v="Avoided social costs/benefits"/>
    <s v="Social Capital"/>
    <n v="20"/>
    <s v="beneficiaries/year"/>
    <n v="1"/>
    <n v="1"/>
    <n v="1"/>
    <n v="1"/>
    <s v="year"/>
    <n v="1275"/>
    <s v="EUR/beneficiary"/>
    <n v="25500"/>
    <s v="EUR"/>
    <n v="1"/>
    <s v="EUR impact/EUR"/>
    <n v="25500"/>
    <n v="2.354758421087829"/>
    <s v="EUR impact/EUR"/>
    <n v="60046.33973773964"/>
    <m/>
    <n v="0"/>
  </r>
  <r>
    <s v="Àgora"/>
    <n v="2025"/>
    <s v="Spain"/>
    <s v="ESP"/>
    <s v="Own operations"/>
    <x v="8"/>
    <x v="19"/>
    <s v="Local Community"/>
    <s v="Income, wage, and personal finance effects"/>
    <s v="Income"/>
    <s v="Avoided household expenditure"/>
    <s v="Human Capital"/>
    <n v="25"/>
    <s v="beneficiaries/year"/>
    <n v="1"/>
    <n v="1"/>
    <n v="1"/>
    <n v="1"/>
    <s v="year"/>
    <n v="800"/>
    <s v="EUR/beneficiary"/>
    <n v="20000"/>
    <s v="EUR"/>
    <n v="1"/>
    <s v="EUR impact/EUR"/>
    <n v="20000"/>
    <n v="0.56911995207157595"/>
    <s v="EUR impact/EUR"/>
    <n v="11382.399041431519"/>
    <m/>
    <n v="0"/>
  </r>
  <r>
    <s v="Àgora"/>
    <n v="2025"/>
    <s v="Spain"/>
    <s v="ESP"/>
    <s v="Own operations"/>
    <x v="8"/>
    <x v="20"/>
    <s v="Local Community"/>
    <s v="Health and well-being"/>
    <s v="Health"/>
    <s v="Improved health and wellbeing"/>
    <s v="Human Capital"/>
    <n v="37.5"/>
    <s v="beneficiaries/year"/>
    <n v="0.9"/>
    <n v="0.4"/>
    <n v="1"/>
    <n v="0.5"/>
    <s v="year"/>
    <n v="0.13300000000000001"/>
    <s v="DALY/beneficiary"/>
    <n v="0.89775000000000005"/>
    <s v="DALY"/>
    <n v="55879.24"/>
    <s v="EUR impact/DALY"/>
    <n v="50165.58771"/>
    <n v="55879.24"/>
    <s v="EUR impact/DALY"/>
    <n v="50165.58771"/>
    <m/>
    <n v="0"/>
  </r>
  <r>
    <s v="Àgora"/>
    <n v="2025"/>
    <s v="Spain"/>
    <s v="ESP"/>
    <s v="Own operations"/>
    <x v="8"/>
    <x v="22"/>
    <s v="State/Local Government"/>
    <s v="Costs to society/state"/>
    <s v="Costs to society"/>
    <s v="Avoided social costs/benefits"/>
    <s v="Social Capital"/>
    <n v="25"/>
    <s v="beneficiaries/year"/>
    <n v="1"/>
    <n v="1"/>
    <n v="1"/>
    <n v="1"/>
    <s v="year"/>
    <n v="850"/>
    <s v="EUR/beneficiary"/>
    <n v="21250"/>
    <s v="EUR"/>
    <n v="1"/>
    <s v="EUR impact/EUR"/>
    <n v="21250"/>
    <n v="2.354758421087829"/>
    <s v="EUR impact/EUR"/>
    <n v="50038.616448116365"/>
    <m/>
    <n v="0"/>
  </r>
  <r>
    <s v="Àgora"/>
    <n v="2025"/>
    <s v="Spain"/>
    <s v="ESP"/>
    <s v="Own operations"/>
    <x v="9"/>
    <x v="23"/>
    <s v="Local Community"/>
    <s v="Income, wage, and personal finance effects"/>
    <s v="Income"/>
    <s v="Avoided household expenditure"/>
    <s v="Human Capital"/>
    <n v="20"/>
    <s v="beneficiaries/year"/>
    <n v="1"/>
    <n v="1"/>
    <n v="1"/>
    <n v="1"/>
    <s v="year"/>
    <n v="300"/>
    <s v="EUR/beneficiary"/>
    <n v="6000"/>
    <s v="EUR"/>
    <n v="1"/>
    <s v="EUR impact/EUR"/>
    <n v="6000"/>
    <n v="0.56911995207157595"/>
    <s v="EUR impact/EUR"/>
    <n v="3414.7197124294557"/>
    <m/>
    <n v="0"/>
  </r>
  <r>
    <s v="Àgora"/>
    <n v="2025"/>
    <s v="Spain"/>
    <s v="ESP"/>
    <s v="Own operations"/>
    <x v="9"/>
    <x v="20"/>
    <s v="Local Community"/>
    <s v="Health and well-being"/>
    <s v="Health"/>
    <s v="Improved health and wellbeing"/>
    <s v="Human Capital"/>
    <n v="20"/>
    <s v="beneficiaries/year"/>
    <n v="0.7"/>
    <n v="0.8"/>
    <n v="1"/>
    <n v="0.5"/>
    <s v="year"/>
    <n v="0.03"/>
    <s v="DALY/beneficiary"/>
    <n v="0.16800000000000001"/>
    <s v="DALY"/>
    <n v="55879.24"/>
    <s v="EUR impact/DALY"/>
    <n v="9387.7123200000005"/>
    <n v="55879.24"/>
    <s v="EUR impact/DALY"/>
    <n v="9387.7123200000005"/>
    <m/>
    <n v="0"/>
  </r>
  <r>
    <s v="Àgora"/>
    <n v="2025"/>
    <s v="Spain"/>
    <s v="ESP"/>
    <s v="Own operations"/>
    <x v="9"/>
    <x v="24"/>
    <s v="State/Local Government"/>
    <s v="Costs to society/state"/>
    <s v="Costs to society"/>
    <s v="Avoided social costs/benefits"/>
    <s v="Social Capital"/>
    <n v="20"/>
    <s v="beneficiaries/year"/>
    <n v="1"/>
    <n v="1"/>
    <n v="1"/>
    <n v="1"/>
    <s v="year"/>
    <n v="150"/>
    <s v="EUR/beneficiary"/>
    <n v="3000"/>
    <s v="EUR"/>
    <n v="1"/>
    <s v="EUR impact/EUR"/>
    <n v="3000"/>
    <n v="2.354758421087829"/>
    <s v="EUR impact/EUR"/>
    <n v="7064.2752632634865"/>
    <m/>
    <n v="0"/>
  </r>
  <r>
    <s v="Àgora"/>
    <n v="2025"/>
    <s v="Spain"/>
    <s v="ESP"/>
    <s v="Own operations"/>
    <x v="10"/>
    <x v="25"/>
    <s v="Local Community"/>
    <s v="Income, wage, and personal finance effects"/>
    <s v="Income"/>
    <s v="Avoided household expenditure"/>
    <s v="Human Capital"/>
    <n v="150"/>
    <s v="beneficiaries/year"/>
    <n v="1"/>
    <n v="1"/>
    <n v="1"/>
    <n v="1"/>
    <s v="year"/>
    <n v="120"/>
    <s v="EUR/beneficiary"/>
    <n v="18000"/>
    <s v="EUR"/>
    <n v="1"/>
    <s v="EUR impact/EUR"/>
    <n v="18000"/>
    <n v="0.56911995207157595"/>
    <s v="EUR impact/EUR"/>
    <n v="10244.159137288367"/>
    <m/>
    <n v="0"/>
  </r>
  <r>
    <s v="Àgora"/>
    <n v="2025"/>
    <s v="Spain"/>
    <s v="ESP"/>
    <s v="Own operations"/>
    <x v="10"/>
    <x v="20"/>
    <s v="Local Community"/>
    <s v="Health and well-being"/>
    <s v="Health"/>
    <s v="Improved health and wellbeing"/>
    <s v="Human Capital"/>
    <n v="150"/>
    <s v="beneficiaries/year"/>
    <n v="0.4"/>
    <n v="0.25"/>
    <n v="1"/>
    <n v="0.5"/>
    <s v="year"/>
    <n v="0.13300000000000001"/>
    <s v="DALY/beneficiary"/>
    <n v="0.99750000000000005"/>
    <s v="DALY"/>
    <n v="55879.24"/>
    <s v="EUR impact/DALY"/>
    <n v="55739.541900000004"/>
    <n v="55879.24"/>
    <s v="EUR impact/DALY"/>
    <n v="55739.541900000004"/>
    <m/>
    <n v="0"/>
  </r>
  <r>
    <s v="Àgora"/>
    <n v="2025"/>
    <s v="Spain"/>
    <s v="ESP"/>
    <s v="Own operations"/>
    <x v="10"/>
    <x v="26"/>
    <s v="Local Community"/>
    <s v="Health and well-being"/>
    <s v="Health"/>
    <s v="Improved health and wellbeing"/>
    <s v="Human Capital"/>
    <n v="150"/>
    <s v="beneficiaries/year"/>
    <n v="0.08"/>
    <n v="0.3"/>
    <n v="1"/>
    <n v="1"/>
    <s v="year"/>
    <n v="0.02"/>
    <s v="DALY/beneficiary"/>
    <n v="7.1999999999999995E-2"/>
    <s v="DALY"/>
    <n v="55879.24"/>
    <s v="EUR impact/DALY"/>
    <n v="4023.3052799999996"/>
    <n v="55879.24"/>
    <s v="EUR impact/DALY"/>
    <n v="4023.3052799999996"/>
    <m/>
    <n v="0"/>
  </r>
  <r>
    <s v="Àgora"/>
    <n v="2025"/>
    <s v="Spain"/>
    <s v="ESP"/>
    <s v="Own operations"/>
    <x v="11"/>
    <x v="27"/>
    <s v="Local Community"/>
    <s v="Income, wage, and personal finance effects"/>
    <s v="Income"/>
    <s v="Avoided household expenditure"/>
    <s v="Human Capital"/>
    <n v="10"/>
    <s v="children/year"/>
    <n v="1"/>
    <n v="1"/>
    <n v="1"/>
    <n v="10"/>
    <s v="months/year"/>
    <n v="200"/>
    <s v="EUR/child/month"/>
    <n v="20000"/>
    <s v="EUR"/>
    <n v="1"/>
    <s v="EUR impact/EUR"/>
    <n v="20000"/>
    <n v="0.56911995207157595"/>
    <s v="EUR impact/EUR"/>
    <n v="11382.399041431519"/>
    <m/>
    <n v="0"/>
  </r>
  <r>
    <s v="Àgora"/>
    <n v="2025"/>
    <s v="Spain"/>
    <s v="ESP"/>
    <s v="Own operations"/>
    <x v="11"/>
    <x v="28"/>
    <s v="Local Community"/>
    <s v="Income, wage, and personal finance effects"/>
    <s v="Income"/>
    <s v="Income"/>
    <s v="Human Capital"/>
    <n v="7"/>
    <s v="parents/year"/>
    <n v="1"/>
    <n v="1"/>
    <n v="1"/>
    <n v="880"/>
    <s v="hours/year"/>
    <n v="8.5"/>
    <s v="EUR/hour"/>
    <n v="52360"/>
    <s v="EUR"/>
    <n v="1"/>
    <s v="EUR impact/EUR"/>
    <n v="52360"/>
    <n v="0.56911995207157595"/>
    <s v="EUR impact/EUR"/>
    <n v="29799.120690467716"/>
    <m/>
    <n v="0"/>
  </r>
  <r>
    <s v="Àgora"/>
    <n v="2025"/>
    <s v="Spain"/>
    <s v="ESP"/>
    <s v="Own operations"/>
    <x v="11"/>
    <x v="29"/>
    <s v="State/Local Government"/>
    <s v="Costs to society/state"/>
    <s v="Costs to society"/>
    <s v="Avoided social costs/benefits"/>
    <s v="Social Capital"/>
    <n v="10"/>
    <s v="children/year"/>
    <n v="1"/>
    <n v="1"/>
    <n v="1"/>
    <n v="1"/>
    <s v="year"/>
    <n v="1168"/>
    <s v="EUR/child"/>
    <n v="11680"/>
    <s v="EUR"/>
    <n v="1"/>
    <s v="EUR impact/EUR"/>
    <n v="11680"/>
    <n v="2.354758421087829"/>
    <s v="EUR impact/EUR"/>
    <n v="27503.578358305844"/>
    <m/>
    <n v="0"/>
  </r>
  <r>
    <s v="Àgora"/>
    <n v="2025"/>
    <s v="Spain"/>
    <s v="ESP"/>
    <s v="Own operations"/>
    <x v="12"/>
    <x v="30"/>
    <s v="Local Community"/>
    <s v="Education, skills, and training"/>
    <s v="Training"/>
    <s v="Improved educational opportunities"/>
    <s v="Human Capital"/>
    <n v="1500"/>
    <s v="visits/year"/>
    <n v="1"/>
    <n v="1"/>
    <n v="1"/>
    <n v="1"/>
    <s v="year"/>
    <n v="15"/>
    <s v="EUR/visit"/>
    <n v="22500"/>
    <s v="EUR"/>
    <n v="1"/>
    <s v="EUR impact/EUR"/>
    <n v="22500"/>
    <n v="0.56911995207157595"/>
    <s v="EUR impact/EUR"/>
    <n v="12805.198921610459"/>
    <m/>
    <n v="0"/>
  </r>
  <r>
    <s v="Àgora"/>
    <n v="2025"/>
    <s v="Spain"/>
    <s v="ESP"/>
    <s v="Own operations"/>
    <x v="12"/>
    <x v="31"/>
    <s v="Nature"/>
    <s v="Ecosystem services"/>
    <s v="Ecosystem services"/>
    <s v="Ecosystem services"/>
    <s v="Natural Capital"/>
    <n v="500"/>
    <s v="children/year"/>
    <n v="1"/>
    <n v="1"/>
    <n v="1"/>
    <n v="1"/>
    <s v="year"/>
    <n v="50"/>
    <s v="EUR/child"/>
    <n v="25000"/>
    <s v="EUR"/>
    <n v="1"/>
    <s v="EUR impact/EUR"/>
    <n v="25000"/>
    <n v="0.56911995207157595"/>
    <s v="EUR impact/EUR"/>
    <n v="14227.998801789399"/>
    <m/>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691260E-B61B-44D8-A25B-F1DBF6A92752}" name="PivotTable6"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53" firstHeaderRow="1" firstDataRow="1" firstDataCol="1"/>
  <pivotFields count="31">
    <pivotField showAll="0"/>
    <pivotField showAll="0"/>
    <pivotField showAll="0"/>
    <pivotField showAll="0"/>
    <pivotField showAll="0"/>
    <pivotField axis="axisRow" showAll="0">
      <items count="14">
        <item x="3"/>
        <item x="11"/>
        <item x="4"/>
        <item x="1"/>
        <item x="6"/>
        <item x="9"/>
        <item x="2"/>
        <item x="10"/>
        <item x="8"/>
        <item x="7"/>
        <item x="12"/>
        <item x="0"/>
        <item x="5"/>
        <item t="default"/>
      </items>
    </pivotField>
    <pivotField axis="axisRow" showAll="0">
      <items count="33">
        <item x="13"/>
        <item x="0"/>
        <item x="20"/>
        <item x="27"/>
        <item x="21"/>
        <item x="16"/>
        <item x="24"/>
        <item x="25"/>
        <item x="12"/>
        <item x="22"/>
        <item x="19"/>
        <item x="10"/>
        <item x="18"/>
        <item x="29"/>
        <item x="2"/>
        <item x="1"/>
        <item x="9"/>
        <item x="14"/>
        <item x="15"/>
        <item x="17"/>
        <item x="23"/>
        <item x="30"/>
        <item x="5"/>
        <item x="7"/>
        <item x="8"/>
        <item x="11"/>
        <item x="6"/>
        <item x="3"/>
        <item x="28"/>
        <item x="4"/>
        <item x="31"/>
        <item x="26"/>
        <item t="default"/>
      </items>
    </pivotField>
    <pivotField showAll="0"/>
    <pivotField showAll="0"/>
    <pivotField showAll="0"/>
    <pivotField showAll="0"/>
    <pivotField showAll="0"/>
    <pivotField numFmtId="169" showAll="0"/>
    <pivotField showAll="0"/>
    <pivotField numFmtId="9" showAll="0"/>
    <pivotField numFmtId="9" showAll="0"/>
    <pivotField numFmtId="9" showAll="0"/>
    <pivotField numFmtId="170" showAll="0"/>
    <pivotField showAll="0"/>
    <pivotField numFmtId="169" showAll="0"/>
    <pivotField showAll="0"/>
    <pivotField numFmtId="168" showAll="0"/>
    <pivotField showAll="0"/>
    <pivotField numFmtId="189" showAll="0"/>
    <pivotField showAll="0"/>
    <pivotField dataField="1" numFmtId="169" showAll="0"/>
    <pivotField numFmtId="189" showAll="0"/>
    <pivotField showAll="0"/>
    <pivotField numFmtId="169" showAll="0"/>
    <pivotField showAll="0"/>
    <pivotField numFmtId="169" showAll="0"/>
  </pivotFields>
  <rowFields count="2">
    <field x="5"/>
    <field x="6"/>
  </rowFields>
  <rowItems count="50">
    <i>
      <x/>
    </i>
    <i r="1">
      <x/>
    </i>
    <i>
      <x v="1"/>
    </i>
    <i r="1">
      <x v="3"/>
    </i>
    <i r="1">
      <x v="13"/>
    </i>
    <i r="1">
      <x v="28"/>
    </i>
    <i>
      <x v="2"/>
    </i>
    <i r="1">
      <x v="17"/>
    </i>
    <i r="1">
      <x v="18"/>
    </i>
    <i>
      <x v="3"/>
    </i>
    <i r="1">
      <x v="12"/>
    </i>
    <i r="1">
      <x v="16"/>
    </i>
    <i r="1">
      <x v="23"/>
    </i>
    <i r="1">
      <x v="24"/>
    </i>
    <i>
      <x v="4"/>
    </i>
    <i r="1">
      <x v="19"/>
    </i>
    <i>
      <x v="5"/>
    </i>
    <i r="1">
      <x v="2"/>
    </i>
    <i r="1">
      <x v="6"/>
    </i>
    <i r="1">
      <x v="20"/>
    </i>
    <i>
      <x v="6"/>
    </i>
    <i r="1">
      <x v="8"/>
    </i>
    <i r="1">
      <x v="11"/>
    </i>
    <i r="1">
      <x v="25"/>
    </i>
    <i>
      <x v="7"/>
    </i>
    <i r="1">
      <x v="2"/>
    </i>
    <i r="1">
      <x v="7"/>
    </i>
    <i r="1">
      <x v="31"/>
    </i>
    <i>
      <x v="8"/>
    </i>
    <i r="1">
      <x v="2"/>
    </i>
    <i r="1">
      <x v="9"/>
    </i>
    <i r="1">
      <x v="10"/>
    </i>
    <i>
      <x v="9"/>
    </i>
    <i r="1">
      <x v="2"/>
    </i>
    <i r="1">
      <x v="4"/>
    </i>
    <i r="1">
      <x v="10"/>
    </i>
    <i>
      <x v="10"/>
    </i>
    <i r="1">
      <x v="21"/>
    </i>
    <i r="1">
      <x v="30"/>
    </i>
    <i>
      <x v="11"/>
    </i>
    <i r="1">
      <x v="1"/>
    </i>
    <i r="1">
      <x v="14"/>
    </i>
    <i r="1">
      <x v="15"/>
    </i>
    <i r="1">
      <x v="22"/>
    </i>
    <i r="1">
      <x v="26"/>
    </i>
    <i r="1">
      <x v="27"/>
    </i>
    <i r="1">
      <x v="29"/>
    </i>
    <i>
      <x v="12"/>
    </i>
    <i r="1">
      <x v="5"/>
    </i>
    <i t="grand">
      <x/>
    </i>
  </rowItems>
  <colItems count="1">
    <i/>
  </colItems>
  <dataFields count="1">
    <dataField name="Sum of Societal valuation (No eQALY) impact)" fld="25" baseField="0" baseItem="0" numFmtId="16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82E8BFC-1F78-DA43-BA8C-F1599D212B5E}" name="PivotTable9"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12" firstHeaderRow="1" firstDataRow="2" firstDataCol="1" rowPageCount="1" colPageCount="1"/>
  <pivotFields count="10">
    <pivotField showAll="0"/>
    <pivotField showAll="0">
      <items count="220">
        <item x="1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t="default"/>
      </items>
    </pivotField>
    <pivotField axis="axisRow" showAll="0">
      <items count="9">
        <item x="5"/>
        <item x="3"/>
        <item x="0"/>
        <item x="4"/>
        <item x="6"/>
        <item x="1"/>
        <item x="2"/>
        <item x="7"/>
        <item t="default"/>
      </items>
    </pivotField>
    <pivotField axis="axisCol" showAll="0">
      <items count="6">
        <item x="0"/>
        <item x="1"/>
        <item x="2"/>
        <item x="3"/>
        <item x="4"/>
        <item t="default"/>
      </items>
    </pivotField>
    <pivotField showAll="0"/>
    <pivotField showAll="0"/>
    <pivotField showAll="0"/>
    <pivotField showAll="0"/>
    <pivotField showAll="0"/>
    <pivotField axis="axisPage" dataField="1" multipleItemSelectionAllowed="1" showAll="0">
      <items count="188">
        <item h="1" x="0"/>
        <item x="150"/>
        <item x="44"/>
        <item x="182"/>
        <item x="83"/>
        <item x="114"/>
        <item x="78"/>
        <item x="144"/>
        <item x="159"/>
        <item x="163"/>
        <item x="57"/>
        <item x="125"/>
        <item x="158"/>
        <item x="47"/>
        <item x="37"/>
        <item x="49"/>
        <item x="92"/>
        <item x="94"/>
        <item x="153"/>
        <item x="145"/>
        <item x="102"/>
        <item x="168"/>
        <item x="61"/>
        <item x="77"/>
        <item x="183"/>
        <item x="118"/>
        <item x="132"/>
        <item x="181"/>
        <item x="164"/>
        <item x="64"/>
        <item x="128"/>
        <item x="160"/>
        <item x="142"/>
        <item x="68"/>
        <item x="148"/>
        <item x="35"/>
        <item x="121"/>
        <item x="63"/>
        <item x="184"/>
        <item x="26"/>
        <item x="134"/>
        <item x="62"/>
        <item x="161"/>
        <item x="34"/>
        <item x="166"/>
        <item x="108"/>
        <item x="27"/>
        <item x="13"/>
        <item x="152"/>
        <item x="178"/>
        <item x="96"/>
        <item x="97"/>
        <item x="185"/>
        <item x="12"/>
        <item x="2"/>
        <item x="175"/>
        <item x="154"/>
        <item x="18"/>
        <item x="169"/>
        <item x="32"/>
        <item x="38"/>
        <item x="177"/>
        <item x="72"/>
        <item x="1"/>
        <item x="172"/>
        <item x="120"/>
        <item x="107"/>
        <item x="116"/>
        <item x="112"/>
        <item x="138"/>
        <item x="65"/>
        <item x="75"/>
        <item x="87"/>
        <item x="55"/>
        <item x="111"/>
        <item x="81"/>
        <item x="91"/>
        <item x="110"/>
        <item x="180"/>
        <item x="33"/>
        <item x="176"/>
        <item x="66"/>
        <item x="70"/>
        <item x="131"/>
        <item x="14"/>
        <item x="39"/>
        <item x="56"/>
        <item x="140"/>
        <item x="60"/>
        <item x="167"/>
        <item x="20"/>
        <item x="119"/>
        <item x="80"/>
        <item x="5"/>
        <item x="11"/>
        <item x="51"/>
        <item x="59"/>
        <item x="165"/>
        <item x="129"/>
        <item x="10"/>
        <item x="149"/>
        <item x="71"/>
        <item x="67"/>
        <item x="143"/>
        <item x="113"/>
        <item x="86"/>
        <item x="46"/>
        <item x="6"/>
        <item x="122"/>
        <item x="36"/>
        <item x="30"/>
        <item x="115"/>
        <item x="106"/>
        <item x="93"/>
        <item x="3"/>
        <item x="85"/>
        <item x="50"/>
        <item x="171"/>
        <item x="22"/>
        <item x="40"/>
        <item x="98"/>
        <item x="100"/>
        <item x="136"/>
        <item x="173"/>
        <item x="105"/>
        <item x="48"/>
        <item x="23"/>
        <item x="95"/>
        <item x="15"/>
        <item x="54"/>
        <item x="21"/>
        <item x="156"/>
        <item x="137"/>
        <item x="53"/>
        <item x="24"/>
        <item x="42"/>
        <item x="141"/>
        <item x="117"/>
        <item x="74"/>
        <item x="76"/>
        <item x="8"/>
        <item x="69"/>
        <item x="151"/>
        <item x="127"/>
        <item x="58"/>
        <item x="99"/>
        <item x="174"/>
        <item x="52"/>
        <item x="45"/>
        <item x="43"/>
        <item x="25"/>
        <item x="157"/>
        <item x="41"/>
        <item x="147"/>
        <item x="28"/>
        <item x="82"/>
        <item x="155"/>
        <item x="9"/>
        <item x="104"/>
        <item x="130"/>
        <item x="73"/>
        <item x="124"/>
        <item x="31"/>
        <item x="7"/>
        <item x="84"/>
        <item x="17"/>
        <item x="19"/>
        <item x="123"/>
        <item x="133"/>
        <item x="29"/>
        <item x="88"/>
        <item x="109"/>
        <item x="89"/>
        <item x="179"/>
        <item x="162"/>
        <item x="90"/>
        <item x="16"/>
        <item x="101"/>
        <item x="126"/>
        <item x="79"/>
        <item x="135"/>
        <item x="146"/>
        <item x="4"/>
        <item x="139"/>
        <item x="103"/>
        <item h="1" x="170"/>
        <item h="1" x="186"/>
        <item t="default"/>
      </items>
    </pivotField>
  </pivotFields>
  <rowFields count="1">
    <field x="2"/>
  </rowFields>
  <rowItems count="8">
    <i>
      <x/>
    </i>
    <i>
      <x v="1"/>
    </i>
    <i>
      <x v="2"/>
    </i>
    <i>
      <x v="3"/>
    </i>
    <i>
      <x v="4"/>
    </i>
    <i>
      <x v="5"/>
    </i>
    <i>
      <x v="6"/>
    </i>
    <i t="grand">
      <x/>
    </i>
  </rowItems>
  <colFields count="1">
    <field x="3"/>
  </colFields>
  <colItems count="5">
    <i>
      <x/>
    </i>
    <i>
      <x v="1"/>
    </i>
    <i>
      <x v="2"/>
    </i>
    <i>
      <x v="3"/>
    </i>
    <i t="grand">
      <x/>
    </i>
  </colItems>
  <pageFields count="1">
    <pageField fld="9" hier="-1"/>
  </pageFields>
  <dataFields count="1">
    <dataField name="Average of Ratio LF over Pop." fld="9" subtotal="average" baseField="0" baseItem="0" numFmtId="9"/>
  </dataFields>
  <formats count="2">
    <format dxfId="31">
      <pivotArea collapsedLevelsAreSubtotals="1" fieldPosition="0">
        <references count="2">
          <reference field="2" count="0"/>
          <reference field="3" count="4" selected="0">
            <x v="0"/>
            <x v="1"/>
            <x v="2"/>
            <x v="3"/>
          </reference>
        </references>
      </pivotArea>
    </format>
    <format dxfId="3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D6B302-C4AD-A345-AA5E-CEC4F853FE0E}" name="PivotTable1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3:G73" firstHeaderRow="1" firstDataRow="2" firstDataCol="1" rowPageCount="1" colPageCount="1"/>
  <pivotFields count="13">
    <pivotField axis="axisRow" showAll="0">
      <items count="9">
        <item x="5"/>
        <item x="3"/>
        <item x="0"/>
        <item x="4"/>
        <item x="6"/>
        <item x="1"/>
        <item x="2"/>
        <item x="7"/>
        <item t="default"/>
      </items>
    </pivotField>
    <pivotField axis="axisCol" showAll="0">
      <items count="6">
        <item x="0"/>
        <item x="1"/>
        <item x="2"/>
        <item x="3"/>
        <item x="4"/>
        <item t="default"/>
      </items>
    </pivotField>
    <pivotField showAll="0"/>
    <pivotField showAll="0"/>
    <pivotField showAll="0"/>
    <pivotField showAll="0"/>
    <pivotField showAll="0"/>
    <pivotField showAll="0"/>
    <pivotField axis="axisPage" multipleItemSelectionAllowed="1" showAll="0">
      <items count="179">
        <item x="131"/>
        <item x="175"/>
        <item x="146"/>
        <item x="15"/>
        <item x="29"/>
        <item x="150"/>
        <item x="2"/>
        <item x="144"/>
        <item x="174"/>
        <item x="37"/>
        <item x="65"/>
        <item x="35"/>
        <item x="39"/>
        <item x="73"/>
        <item x="62"/>
        <item x="116"/>
        <item x="26"/>
        <item x="111"/>
        <item x="142"/>
        <item x="46"/>
        <item x="36"/>
        <item x="40"/>
        <item x="38"/>
        <item x="102"/>
        <item x="154"/>
        <item x="130"/>
        <item x="176"/>
        <item x="28"/>
        <item x="136"/>
        <item x="87"/>
        <item x="94"/>
        <item x="25"/>
        <item x="34"/>
        <item x="127"/>
        <item x="126"/>
        <item x="22"/>
        <item x="145"/>
        <item x="52"/>
        <item x="19"/>
        <item x="164"/>
        <item x="12"/>
        <item x="76"/>
        <item x="71"/>
        <item x="173"/>
        <item x="114"/>
        <item x="14"/>
        <item x="138"/>
        <item x="32"/>
        <item x="153"/>
        <item x="92"/>
        <item x="137"/>
        <item x="119"/>
        <item x="55"/>
        <item x="0"/>
        <item x="83"/>
        <item x="16"/>
        <item x="41"/>
        <item x="24"/>
        <item x="112"/>
        <item x="69"/>
        <item x="117"/>
        <item x="133"/>
        <item x="64"/>
        <item x="141"/>
        <item x="68"/>
        <item x="60"/>
        <item x="45"/>
        <item x="122"/>
        <item x="33"/>
        <item x="139"/>
        <item x="50"/>
        <item x="95"/>
        <item x="63"/>
        <item x="103"/>
        <item x="90"/>
        <item x="42"/>
        <item x="161"/>
        <item x="78"/>
        <item x="167"/>
        <item x="81"/>
        <item x="1"/>
        <item x="23"/>
        <item x="156"/>
        <item x="59"/>
        <item x="134"/>
        <item x="159"/>
        <item x="79"/>
        <item x="82"/>
        <item x="100"/>
        <item x="17"/>
        <item x="166"/>
        <item x="106"/>
        <item x="162"/>
        <item x="93"/>
        <item x="115"/>
        <item x="113"/>
        <item x="125"/>
        <item x="6"/>
        <item x="158"/>
        <item x="84"/>
        <item x="48"/>
        <item x="53"/>
        <item x="160"/>
        <item x="104"/>
        <item x="105"/>
        <item x="20"/>
        <item x="169"/>
        <item x="109"/>
        <item x="70"/>
        <item x="3"/>
        <item x="168"/>
        <item x="128"/>
        <item x="172"/>
        <item x="155"/>
        <item x="67"/>
        <item x="170"/>
        <item x="140"/>
        <item x="91"/>
        <item x="96"/>
        <item x="75"/>
        <item x="18"/>
        <item x="97"/>
        <item x="58"/>
        <item x="135"/>
        <item x="171"/>
        <item x="98"/>
        <item x="151"/>
        <item x="129"/>
        <item x="57"/>
        <item x="66"/>
        <item x="9"/>
        <item x="61"/>
        <item x="110"/>
        <item x="124"/>
        <item x="30"/>
        <item x="118"/>
        <item x="152"/>
        <item x="123"/>
        <item x="31"/>
        <item x="99"/>
        <item x="132"/>
        <item x="85"/>
        <item x="49"/>
        <item x="10"/>
        <item x="44"/>
        <item x="88"/>
        <item x="108"/>
        <item x="72"/>
        <item x="51"/>
        <item x="54"/>
        <item x="107"/>
        <item x="89"/>
        <item x="149"/>
        <item x="86"/>
        <item x="163"/>
        <item x="143"/>
        <item x="101"/>
        <item x="165"/>
        <item x="157"/>
        <item x="4"/>
        <item x="7"/>
        <item x="120"/>
        <item x="21"/>
        <item x="121"/>
        <item x="77"/>
        <item x="27"/>
        <item x="13"/>
        <item x="5"/>
        <item x="56"/>
        <item x="47"/>
        <item x="74"/>
        <item x="147"/>
        <item x="148"/>
        <item x="80"/>
        <item x="43"/>
        <item x="11"/>
        <item h="1" x="8"/>
        <item x="177"/>
        <item t="default"/>
      </items>
    </pivotField>
    <pivotField showAll="0"/>
    <pivotField showAll="0"/>
    <pivotField showAll="0"/>
    <pivotField dataField="1" showAll="0"/>
  </pivotFields>
  <rowFields count="1">
    <field x="0"/>
  </rowFields>
  <rowItems count="9">
    <i>
      <x/>
    </i>
    <i>
      <x v="1"/>
    </i>
    <i>
      <x v="2"/>
    </i>
    <i>
      <x v="3"/>
    </i>
    <i>
      <x v="4"/>
    </i>
    <i>
      <x v="5"/>
    </i>
    <i>
      <x v="6"/>
    </i>
    <i>
      <x v="7"/>
    </i>
    <i t="grand">
      <x/>
    </i>
  </rowItems>
  <colFields count="1">
    <field x="1"/>
  </colFields>
  <colItems count="6">
    <i>
      <x/>
    </i>
    <i>
      <x v="1"/>
    </i>
    <i>
      <x v="2"/>
    </i>
    <i>
      <x v="3"/>
    </i>
    <i>
      <x v="4"/>
    </i>
    <i t="grand">
      <x/>
    </i>
  </colItems>
  <pageFields count="1">
    <pageField fld="8" hier="-1"/>
  </pageFields>
  <dataFields count="1">
    <dataField name="Average of Q5" fld="12" subtotal="average" baseField="0" baseItem="0" numFmtId="171"/>
  </dataFields>
  <formats count="6">
    <format dxfId="5">
      <pivotArea outline="0" collapsedLevelsAreSubtotals="1" fieldPosition="0"/>
    </format>
    <format dxfId="4">
      <pivotArea dataOnly="0" labelOnly="1" outline="0" fieldPosition="0">
        <references count="1">
          <reference field="8" count="0"/>
        </references>
      </pivotArea>
    </format>
    <format dxfId="3">
      <pivotArea field="1" type="button" dataOnly="0" labelOnly="1" outline="0" axis="axisCol" fieldPosition="0"/>
    </format>
    <format dxfId="2">
      <pivotArea type="topRight" dataOnly="0" labelOnly="1" outline="0" fieldPosition="0"/>
    </format>
    <format dxfId="1">
      <pivotArea dataOnly="0" labelOnly="1" fieldPosition="0">
        <references count="1">
          <reference field="1"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9999107-998F-DE40-B64F-485D902DCB03}" name="PivotTable1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8:G58" firstHeaderRow="1" firstDataRow="2" firstDataCol="1" rowPageCount="1" colPageCount="1"/>
  <pivotFields count="13">
    <pivotField axis="axisRow" showAll="0">
      <items count="9">
        <item x="5"/>
        <item x="3"/>
        <item x="0"/>
        <item x="4"/>
        <item x="6"/>
        <item x="1"/>
        <item x="2"/>
        <item x="7"/>
        <item t="default"/>
      </items>
    </pivotField>
    <pivotField axis="axisCol" showAll="0">
      <items count="6">
        <item x="0"/>
        <item x="1"/>
        <item x="2"/>
        <item x="3"/>
        <item x="4"/>
        <item t="default"/>
      </items>
    </pivotField>
    <pivotField showAll="0"/>
    <pivotField showAll="0"/>
    <pivotField showAll="0"/>
    <pivotField showAll="0"/>
    <pivotField showAll="0"/>
    <pivotField showAll="0"/>
    <pivotField axis="axisPage" multipleItemSelectionAllowed="1" showAll="0">
      <items count="179">
        <item x="131"/>
        <item x="175"/>
        <item x="146"/>
        <item x="15"/>
        <item x="29"/>
        <item x="150"/>
        <item x="2"/>
        <item x="144"/>
        <item x="174"/>
        <item x="37"/>
        <item x="65"/>
        <item x="35"/>
        <item x="39"/>
        <item x="73"/>
        <item x="62"/>
        <item x="116"/>
        <item x="26"/>
        <item x="111"/>
        <item x="142"/>
        <item x="46"/>
        <item x="36"/>
        <item x="40"/>
        <item x="38"/>
        <item x="102"/>
        <item x="154"/>
        <item x="130"/>
        <item x="176"/>
        <item x="28"/>
        <item x="136"/>
        <item x="87"/>
        <item x="94"/>
        <item x="25"/>
        <item x="34"/>
        <item x="127"/>
        <item x="126"/>
        <item x="22"/>
        <item x="145"/>
        <item x="52"/>
        <item x="19"/>
        <item x="164"/>
        <item x="12"/>
        <item x="76"/>
        <item x="71"/>
        <item x="173"/>
        <item x="114"/>
        <item x="14"/>
        <item x="138"/>
        <item x="32"/>
        <item x="153"/>
        <item x="92"/>
        <item x="137"/>
        <item x="119"/>
        <item x="55"/>
        <item x="0"/>
        <item x="83"/>
        <item x="16"/>
        <item x="41"/>
        <item x="24"/>
        <item x="112"/>
        <item x="69"/>
        <item x="117"/>
        <item x="133"/>
        <item x="64"/>
        <item x="141"/>
        <item x="68"/>
        <item x="60"/>
        <item x="45"/>
        <item x="122"/>
        <item x="33"/>
        <item x="139"/>
        <item x="50"/>
        <item x="95"/>
        <item x="63"/>
        <item x="103"/>
        <item x="90"/>
        <item x="42"/>
        <item x="161"/>
        <item x="78"/>
        <item x="167"/>
        <item x="81"/>
        <item x="1"/>
        <item x="23"/>
        <item x="156"/>
        <item x="59"/>
        <item x="134"/>
        <item x="159"/>
        <item x="79"/>
        <item x="82"/>
        <item x="100"/>
        <item x="17"/>
        <item x="166"/>
        <item x="106"/>
        <item x="162"/>
        <item x="93"/>
        <item x="115"/>
        <item x="113"/>
        <item x="125"/>
        <item x="6"/>
        <item x="158"/>
        <item x="84"/>
        <item x="48"/>
        <item x="53"/>
        <item x="160"/>
        <item x="104"/>
        <item x="105"/>
        <item x="20"/>
        <item x="169"/>
        <item x="109"/>
        <item x="70"/>
        <item x="3"/>
        <item x="168"/>
        <item x="128"/>
        <item x="172"/>
        <item x="155"/>
        <item x="67"/>
        <item x="170"/>
        <item x="140"/>
        <item x="91"/>
        <item x="96"/>
        <item x="75"/>
        <item x="18"/>
        <item x="97"/>
        <item x="58"/>
        <item x="135"/>
        <item x="171"/>
        <item x="98"/>
        <item x="151"/>
        <item x="129"/>
        <item x="57"/>
        <item x="66"/>
        <item x="9"/>
        <item x="61"/>
        <item x="110"/>
        <item x="124"/>
        <item x="30"/>
        <item x="118"/>
        <item x="152"/>
        <item x="123"/>
        <item x="31"/>
        <item x="99"/>
        <item x="132"/>
        <item x="85"/>
        <item x="49"/>
        <item x="10"/>
        <item x="44"/>
        <item x="88"/>
        <item x="108"/>
        <item x="72"/>
        <item x="51"/>
        <item x="54"/>
        <item x="107"/>
        <item x="89"/>
        <item x="149"/>
        <item x="86"/>
        <item x="163"/>
        <item x="143"/>
        <item x="101"/>
        <item x="165"/>
        <item x="157"/>
        <item x="4"/>
        <item x="7"/>
        <item x="120"/>
        <item x="21"/>
        <item x="121"/>
        <item x="77"/>
        <item x="27"/>
        <item x="13"/>
        <item x="5"/>
        <item x="56"/>
        <item x="47"/>
        <item x="74"/>
        <item x="147"/>
        <item x="148"/>
        <item x="80"/>
        <item x="43"/>
        <item x="11"/>
        <item h="1" x="8"/>
        <item x="177"/>
        <item t="default"/>
      </items>
    </pivotField>
    <pivotField showAll="0"/>
    <pivotField showAll="0"/>
    <pivotField dataField="1" showAll="0"/>
    <pivotField showAll="0"/>
  </pivotFields>
  <rowFields count="1">
    <field x="0"/>
  </rowFields>
  <rowItems count="9">
    <i>
      <x/>
    </i>
    <i>
      <x v="1"/>
    </i>
    <i>
      <x v="2"/>
    </i>
    <i>
      <x v="3"/>
    </i>
    <i>
      <x v="4"/>
    </i>
    <i>
      <x v="5"/>
    </i>
    <i>
      <x v="6"/>
    </i>
    <i>
      <x v="7"/>
    </i>
    <i t="grand">
      <x/>
    </i>
  </rowItems>
  <colFields count="1">
    <field x="1"/>
  </colFields>
  <colItems count="6">
    <i>
      <x/>
    </i>
    <i>
      <x v="1"/>
    </i>
    <i>
      <x v="2"/>
    </i>
    <i>
      <x v="3"/>
    </i>
    <i>
      <x v="4"/>
    </i>
    <i t="grand">
      <x/>
    </i>
  </colItems>
  <pageFields count="1">
    <pageField fld="8" hier="-1"/>
  </pageFields>
  <dataFields count="1">
    <dataField name="Average of Q4" fld="11" subtotal="average" baseField="0" baseItem="0" numFmtId="171"/>
  </dataFields>
  <formats count="6">
    <format dxfId="11">
      <pivotArea outline="0" collapsedLevelsAreSubtotals="1" fieldPosition="0"/>
    </format>
    <format dxfId="10">
      <pivotArea dataOnly="0" labelOnly="1" outline="0" fieldPosition="0">
        <references count="1">
          <reference field="8" count="0"/>
        </references>
      </pivotArea>
    </format>
    <format dxfId="9">
      <pivotArea field="1" type="button" dataOnly="0" labelOnly="1" outline="0" axis="axisCol" fieldPosition="0"/>
    </format>
    <format dxfId="8">
      <pivotArea type="topRight" dataOnly="0" labelOnly="1" outline="0" fieldPosition="0"/>
    </format>
    <format dxfId="7">
      <pivotArea dataOnly="0" labelOnly="1" fieldPosition="0">
        <references count="1">
          <reference field="1" count="0"/>
        </references>
      </pivotArea>
    </format>
    <format dxfId="6">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8FDEAFA-18DF-7B4C-879A-8F45DD0EFA42}" name="PivotTable1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3:G43" firstHeaderRow="1" firstDataRow="2" firstDataCol="1" rowPageCount="1" colPageCount="1"/>
  <pivotFields count="13">
    <pivotField axis="axisRow" showAll="0">
      <items count="9">
        <item x="5"/>
        <item x="3"/>
        <item x="0"/>
        <item x="4"/>
        <item x="6"/>
        <item x="1"/>
        <item x="2"/>
        <item x="7"/>
        <item t="default"/>
      </items>
    </pivotField>
    <pivotField axis="axisCol" showAll="0">
      <items count="6">
        <item x="0"/>
        <item x="1"/>
        <item x="2"/>
        <item x="3"/>
        <item x="4"/>
        <item t="default"/>
      </items>
    </pivotField>
    <pivotField showAll="0"/>
    <pivotField showAll="0"/>
    <pivotField showAll="0"/>
    <pivotField showAll="0"/>
    <pivotField showAll="0"/>
    <pivotField showAll="0"/>
    <pivotField axis="axisPage" multipleItemSelectionAllowed="1" showAll="0">
      <items count="179">
        <item x="131"/>
        <item x="175"/>
        <item x="146"/>
        <item x="15"/>
        <item x="29"/>
        <item x="150"/>
        <item x="2"/>
        <item x="144"/>
        <item x="174"/>
        <item x="37"/>
        <item x="65"/>
        <item x="35"/>
        <item x="39"/>
        <item x="73"/>
        <item x="62"/>
        <item x="116"/>
        <item x="26"/>
        <item x="111"/>
        <item x="142"/>
        <item x="46"/>
        <item x="36"/>
        <item x="40"/>
        <item x="38"/>
        <item x="102"/>
        <item x="154"/>
        <item x="130"/>
        <item x="176"/>
        <item x="28"/>
        <item x="136"/>
        <item x="87"/>
        <item x="94"/>
        <item x="25"/>
        <item x="34"/>
        <item x="127"/>
        <item x="126"/>
        <item x="22"/>
        <item x="145"/>
        <item x="52"/>
        <item x="19"/>
        <item x="164"/>
        <item x="12"/>
        <item x="76"/>
        <item x="71"/>
        <item x="173"/>
        <item x="114"/>
        <item x="14"/>
        <item x="138"/>
        <item x="32"/>
        <item x="153"/>
        <item x="92"/>
        <item x="137"/>
        <item x="119"/>
        <item x="55"/>
        <item x="0"/>
        <item x="83"/>
        <item x="16"/>
        <item x="41"/>
        <item x="24"/>
        <item x="112"/>
        <item x="69"/>
        <item x="117"/>
        <item x="133"/>
        <item x="64"/>
        <item x="141"/>
        <item x="68"/>
        <item x="60"/>
        <item x="45"/>
        <item x="122"/>
        <item x="33"/>
        <item x="139"/>
        <item x="50"/>
        <item x="95"/>
        <item x="63"/>
        <item x="103"/>
        <item x="90"/>
        <item x="42"/>
        <item x="161"/>
        <item x="78"/>
        <item x="167"/>
        <item x="81"/>
        <item x="1"/>
        <item x="23"/>
        <item x="156"/>
        <item x="59"/>
        <item x="134"/>
        <item x="159"/>
        <item x="79"/>
        <item x="82"/>
        <item x="100"/>
        <item x="17"/>
        <item x="166"/>
        <item x="106"/>
        <item x="162"/>
        <item x="93"/>
        <item x="115"/>
        <item x="113"/>
        <item x="125"/>
        <item x="6"/>
        <item x="158"/>
        <item x="84"/>
        <item x="48"/>
        <item x="53"/>
        <item x="160"/>
        <item x="104"/>
        <item x="105"/>
        <item x="20"/>
        <item x="169"/>
        <item x="109"/>
        <item x="70"/>
        <item x="3"/>
        <item x="168"/>
        <item x="128"/>
        <item x="172"/>
        <item x="155"/>
        <item x="67"/>
        <item x="170"/>
        <item x="140"/>
        <item x="91"/>
        <item x="96"/>
        <item x="75"/>
        <item x="18"/>
        <item x="97"/>
        <item x="58"/>
        <item x="135"/>
        <item x="171"/>
        <item x="98"/>
        <item x="151"/>
        <item x="129"/>
        <item x="57"/>
        <item x="66"/>
        <item x="9"/>
        <item x="61"/>
        <item x="110"/>
        <item x="124"/>
        <item x="30"/>
        <item x="118"/>
        <item x="152"/>
        <item x="123"/>
        <item x="31"/>
        <item x="99"/>
        <item x="132"/>
        <item x="85"/>
        <item x="49"/>
        <item x="10"/>
        <item x="44"/>
        <item x="88"/>
        <item x="108"/>
        <item x="72"/>
        <item x="51"/>
        <item x="54"/>
        <item x="107"/>
        <item x="89"/>
        <item x="149"/>
        <item x="86"/>
        <item x="163"/>
        <item x="143"/>
        <item x="101"/>
        <item x="165"/>
        <item x="157"/>
        <item x="4"/>
        <item x="7"/>
        <item x="120"/>
        <item x="21"/>
        <item x="121"/>
        <item x="77"/>
        <item x="27"/>
        <item x="13"/>
        <item x="5"/>
        <item x="56"/>
        <item x="47"/>
        <item x="74"/>
        <item x="147"/>
        <item x="148"/>
        <item x="80"/>
        <item x="43"/>
        <item x="11"/>
        <item h="1" x="8"/>
        <item x="177"/>
        <item t="default"/>
      </items>
    </pivotField>
    <pivotField showAll="0"/>
    <pivotField dataField="1" showAll="0"/>
    <pivotField showAll="0"/>
    <pivotField showAll="0"/>
  </pivotFields>
  <rowFields count="1">
    <field x="0"/>
  </rowFields>
  <rowItems count="9">
    <i>
      <x/>
    </i>
    <i>
      <x v="1"/>
    </i>
    <i>
      <x v="2"/>
    </i>
    <i>
      <x v="3"/>
    </i>
    <i>
      <x v="4"/>
    </i>
    <i>
      <x v="5"/>
    </i>
    <i>
      <x v="6"/>
    </i>
    <i>
      <x v="7"/>
    </i>
    <i t="grand">
      <x/>
    </i>
  </rowItems>
  <colFields count="1">
    <field x="1"/>
  </colFields>
  <colItems count="6">
    <i>
      <x/>
    </i>
    <i>
      <x v="1"/>
    </i>
    <i>
      <x v="2"/>
    </i>
    <i>
      <x v="3"/>
    </i>
    <i>
      <x v="4"/>
    </i>
    <i t="grand">
      <x/>
    </i>
  </colItems>
  <pageFields count="1">
    <pageField fld="8" hier="-1"/>
  </pageFields>
  <dataFields count="1">
    <dataField name="Average of Q3" fld="10" subtotal="average" baseField="0" baseItem="0" numFmtId="171"/>
  </dataFields>
  <formats count="6">
    <format dxfId="17">
      <pivotArea outline="0" collapsedLevelsAreSubtotals="1" fieldPosition="0"/>
    </format>
    <format dxfId="16">
      <pivotArea dataOnly="0" labelOnly="1" outline="0" fieldPosition="0">
        <references count="1">
          <reference field="8" count="0"/>
        </references>
      </pivotArea>
    </format>
    <format dxfId="15">
      <pivotArea field="1" type="button" dataOnly="0" labelOnly="1" outline="0" axis="axisCol" fieldPosition="0"/>
    </format>
    <format dxfId="14">
      <pivotArea type="topRight" dataOnly="0" labelOnly="1" outline="0" fieldPosition="0"/>
    </format>
    <format dxfId="13">
      <pivotArea dataOnly="0" labelOnly="1" fieldPosition="0">
        <references count="1">
          <reference field="1" count="0"/>
        </references>
      </pivotArea>
    </format>
    <format dxfId="12">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3FDFA36F-3BE9-F24E-8F68-4DEB8011B417}" name="PivotTable1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8:G28" firstHeaderRow="1" firstDataRow="2" firstDataCol="1" rowPageCount="1" colPageCount="1"/>
  <pivotFields count="13">
    <pivotField axis="axisRow" showAll="0">
      <items count="9">
        <item x="5"/>
        <item x="3"/>
        <item x="0"/>
        <item x="4"/>
        <item x="6"/>
        <item x="1"/>
        <item x="2"/>
        <item x="7"/>
        <item t="default"/>
      </items>
    </pivotField>
    <pivotField axis="axisCol" showAll="0">
      <items count="6">
        <item x="0"/>
        <item x="1"/>
        <item x="2"/>
        <item x="3"/>
        <item x="4"/>
        <item t="default"/>
      </items>
    </pivotField>
    <pivotField showAll="0"/>
    <pivotField showAll="0"/>
    <pivotField showAll="0"/>
    <pivotField showAll="0"/>
    <pivotField showAll="0"/>
    <pivotField showAll="0"/>
    <pivotField axis="axisPage" multipleItemSelectionAllowed="1" showAll="0">
      <items count="179">
        <item x="131"/>
        <item x="175"/>
        <item x="146"/>
        <item x="15"/>
        <item x="29"/>
        <item x="150"/>
        <item x="2"/>
        <item x="144"/>
        <item x="174"/>
        <item x="37"/>
        <item x="65"/>
        <item x="35"/>
        <item x="39"/>
        <item x="73"/>
        <item x="62"/>
        <item x="116"/>
        <item x="26"/>
        <item x="111"/>
        <item x="142"/>
        <item x="46"/>
        <item x="36"/>
        <item x="40"/>
        <item x="38"/>
        <item x="102"/>
        <item x="154"/>
        <item x="130"/>
        <item x="176"/>
        <item x="28"/>
        <item x="136"/>
        <item x="87"/>
        <item x="94"/>
        <item x="25"/>
        <item x="34"/>
        <item x="127"/>
        <item x="126"/>
        <item x="22"/>
        <item x="145"/>
        <item x="52"/>
        <item x="19"/>
        <item x="164"/>
        <item x="12"/>
        <item x="76"/>
        <item x="71"/>
        <item x="173"/>
        <item x="114"/>
        <item x="14"/>
        <item x="138"/>
        <item x="32"/>
        <item x="153"/>
        <item x="92"/>
        <item x="137"/>
        <item x="119"/>
        <item x="55"/>
        <item x="0"/>
        <item x="83"/>
        <item x="16"/>
        <item x="41"/>
        <item x="24"/>
        <item x="112"/>
        <item x="69"/>
        <item x="117"/>
        <item x="133"/>
        <item x="64"/>
        <item x="141"/>
        <item x="68"/>
        <item x="60"/>
        <item x="45"/>
        <item x="122"/>
        <item x="33"/>
        <item x="139"/>
        <item x="50"/>
        <item x="95"/>
        <item x="63"/>
        <item x="103"/>
        <item x="90"/>
        <item x="42"/>
        <item x="161"/>
        <item x="78"/>
        <item x="167"/>
        <item x="81"/>
        <item x="1"/>
        <item x="23"/>
        <item x="156"/>
        <item x="59"/>
        <item x="134"/>
        <item x="159"/>
        <item x="79"/>
        <item x="82"/>
        <item x="100"/>
        <item x="17"/>
        <item x="166"/>
        <item x="106"/>
        <item x="162"/>
        <item x="93"/>
        <item x="115"/>
        <item x="113"/>
        <item x="125"/>
        <item x="6"/>
        <item x="158"/>
        <item x="84"/>
        <item x="48"/>
        <item x="53"/>
        <item x="160"/>
        <item x="104"/>
        <item x="105"/>
        <item x="20"/>
        <item x="169"/>
        <item x="109"/>
        <item x="70"/>
        <item x="3"/>
        <item x="168"/>
        <item x="128"/>
        <item x="172"/>
        <item x="155"/>
        <item x="67"/>
        <item x="170"/>
        <item x="140"/>
        <item x="91"/>
        <item x="96"/>
        <item x="75"/>
        <item x="18"/>
        <item x="97"/>
        <item x="58"/>
        <item x="135"/>
        <item x="171"/>
        <item x="98"/>
        <item x="151"/>
        <item x="129"/>
        <item x="57"/>
        <item x="66"/>
        <item x="9"/>
        <item x="61"/>
        <item x="110"/>
        <item x="124"/>
        <item x="30"/>
        <item x="118"/>
        <item x="152"/>
        <item x="123"/>
        <item x="31"/>
        <item x="99"/>
        <item x="132"/>
        <item x="85"/>
        <item x="49"/>
        <item x="10"/>
        <item x="44"/>
        <item x="88"/>
        <item x="108"/>
        <item x="72"/>
        <item x="51"/>
        <item x="54"/>
        <item x="107"/>
        <item x="89"/>
        <item x="149"/>
        <item x="86"/>
        <item x="163"/>
        <item x="143"/>
        <item x="101"/>
        <item x="165"/>
        <item x="157"/>
        <item x="4"/>
        <item x="7"/>
        <item x="120"/>
        <item x="21"/>
        <item x="121"/>
        <item x="77"/>
        <item x="27"/>
        <item x="13"/>
        <item x="5"/>
        <item x="56"/>
        <item x="47"/>
        <item x="74"/>
        <item x="147"/>
        <item x="148"/>
        <item x="80"/>
        <item x="43"/>
        <item x="11"/>
        <item h="1" x="8"/>
        <item x="177"/>
        <item t="default"/>
      </items>
    </pivotField>
    <pivotField dataField="1" showAll="0"/>
    <pivotField showAll="0"/>
    <pivotField showAll="0"/>
    <pivotField showAll="0"/>
  </pivotFields>
  <rowFields count="1">
    <field x="0"/>
  </rowFields>
  <rowItems count="9">
    <i>
      <x/>
    </i>
    <i>
      <x v="1"/>
    </i>
    <i>
      <x v="2"/>
    </i>
    <i>
      <x v="3"/>
    </i>
    <i>
      <x v="4"/>
    </i>
    <i>
      <x v="5"/>
    </i>
    <i>
      <x v="6"/>
    </i>
    <i>
      <x v="7"/>
    </i>
    <i t="grand">
      <x/>
    </i>
  </rowItems>
  <colFields count="1">
    <field x="1"/>
  </colFields>
  <colItems count="6">
    <i>
      <x/>
    </i>
    <i>
      <x v="1"/>
    </i>
    <i>
      <x v="2"/>
    </i>
    <i>
      <x v="3"/>
    </i>
    <i>
      <x v="4"/>
    </i>
    <i t="grand">
      <x/>
    </i>
  </colItems>
  <pageFields count="1">
    <pageField fld="8" hier="-1"/>
  </pageFields>
  <dataFields count="1">
    <dataField name="Average of Q2" fld="9" subtotal="average" baseField="0" baseItem="0" numFmtId="171"/>
  </dataFields>
  <formats count="6">
    <format dxfId="23">
      <pivotArea outline="0" collapsedLevelsAreSubtotals="1" fieldPosition="0"/>
    </format>
    <format dxfId="22">
      <pivotArea dataOnly="0" labelOnly="1" outline="0" fieldPosition="0">
        <references count="1">
          <reference field="8" count="0"/>
        </references>
      </pivotArea>
    </format>
    <format dxfId="21">
      <pivotArea field="1" type="button" dataOnly="0" labelOnly="1" outline="0" axis="axisCol" fieldPosition="0"/>
    </format>
    <format dxfId="20">
      <pivotArea type="topRight" dataOnly="0" labelOnly="1" outline="0" fieldPosition="0"/>
    </format>
    <format dxfId="19">
      <pivotArea dataOnly="0" labelOnly="1" fieldPosition="0">
        <references count="1">
          <reference field="1" count="0"/>
        </references>
      </pivotArea>
    </format>
    <format dxfId="18">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E69A044-2A9F-8D46-81F2-9DFC6B43CA9B}" name="PivotTable10"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G13" firstHeaderRow="1" firstDataRow="2" firstDataCol="1" rowPageCount="1" colPageCount="1"/>
  <pivotFields count="13">
    <pivotField axis="axisRow" showAll="0">
      <items count="9">
        <item x="5"/>
        <item x="3"/>
        <item x="0"/>
        <item x="4"/>
        <item x="6"/>
        <item x="1"/>
        <item x="2"/>
        <item x="7"/>
        <item t="default"/>
      </items>
    </pivotField>
    <pivotField axis="axisCol" showAll="0">
      <items count="6">
        <item x="0"/>
        <item x="1"/>
        <item x="2"/>
        <item x="3"/>
        <item x="4"/>
        <item t="default"/>
      </items>
    </pivotField>
    <pivotField showAll="0"/>
    <pivotField showAll="0"/>
    <pivotField showAll="0"/>
    <pivotField showAll="0"/>
    <pivotField showAll="0"/>
    <pivotField showAll="0"/>
    <pivotField axis="axisPage" dataField="1" multipleItemSelectionAllowed="1" showAll="0">
      <items count="179">
        <item x="131"/>
        <item x="175"/>
        <item x="146"/>
        <item x="15"/>
        <item x="29"/>
        <item x="150"/>
        <item x="2"/>
        <item x="144"/>
        <item x="174"/>
        <item x="37"/>
        <item x="65"/>
        <item x="35"/>
        <item x="39"/>
        <item x="73"/>
        <item x="62"/>
        <item x="116"/>
        <item x="26"/>
        <item x="111"/>
        <item x="142"/>
        <item x="46"/>
        <item x="36"/>
        <item x="40"/>
        <item x="38"/>
        <item x="102"/>
        <item x="154"/>
        <item x="130"/>
        <item x="176"/>
        <item x="28"/>
        <item x="136"/>
        <item x="87"/>
        <item x="94"/>
        <item x="25"/>
        <item x="34"/>
        <item x="127"/>
        <item x="126"/>
        <item x="22"/>
        <item x="145"/>
        <item x="52"/>
        <item x="19"/>
        <item x="164"/>
        <item x="12"/>
        <item x="76"/>
        <item x="71"/>
        <item x="173"/>
        <item x="114"/>
        <item x="14"/>
        <item x="138"/>
        <item x="32"/>
        <item x="153"/>
        <item x="92"/>
        <item x="137"/>
        <item x="119"/>
        <item x="55"/>
        <item x="0"/>
        <item x="83"/>
        <item x="16"/>
        <item x="41"/>
        <item x="24"/>
        <item x="112"/>
        <item x="69"/>
        <item x="117"/>
        <item x="133"/>
        <item x="64"/>
        <item x="141"/>
        <item x="68"/>
        <item x="60"/>
        <item x="45"/>
        <item x="122"/>
        <item x="33"/>
        <item x="139"/>
        <item x="50"/>
        <item x="95"/>
        <item x="63"/>
        <item x="103"/>
        <item x="90"/>
        <item x="42"/>
        <item x="161"/>
        <item x="78"/>
        <item x="167"/>
        <item x="81"/>
        <item x="1"/>
        <item x="23"/>
        <item x="156"/>
        <item x="59"/>
        <item x="134"/>
        <item x="159"/>
        <item x="79"/>
        <item x="82"/>
        <item x="100"/>
        <item x="17"/>
        <item x="166"/>
        <item x="106"/>
        <item x="162"/>
        <item x="93"/>
        <item x="115"/>
        <item x="113"/>
        <item x="125"/>
        <item x="6"/>
        <item x="158"/>
        <item x="84"/>
        <item x="48"/>
        <item x="53"/>
        <item x="160"/>
        <item x="104"/>
        <item x="105"/>
        <item x="20"/>
        <item x="169"/>
        <item x="109"/>
        <item x="70"/>
        <item x="3"/>
        <item x="168"/>
        <item x="128"/>
        <item x="172"/>
        <item x="155"/>
        <item x="67"/>
        <item x="170"/>
        <item x="140"/>
        <item x="91"/>
        <item x="96"/>
        <item x="75"/>
        <item x="18"/>
        <item x="97"/>
        <item x="58"/>
        <item x="135"/>
        <item x="171"/>
        <item x="98"/>
        <item x="151"/>
        <item x="129"/>
        <item x="57"/>
        <item x="66"/>
        <item x="9"/>
        <item x="61"/>
        <item x="110"/>
        <item x="124"/>
        <item x="30"/>
        <item x="118"/>
        <item x="152"/>
        <item x="123"/>
        <item x="31"/>
        <item x="99"/>
        <item x="132"/>
        <item x="85"/>
        <item x="49"/>
        <item x="10"/>
        <item x="44"/>
        <item x="88"/>
        <item x="108"/>
        <item x="72"/>
        <item x="51"/>
        <item x="54"/>
        <item x="107"/>
        <item x="89"/>
        <item x="149"/>
        <item x="86"/>
        <item x="163"/>
        <item x="143"/>
        <item x="101"/>
        <item x="165"/>
        <item x="157"/>
        <item x="4"/>
        <item x="7"/>
        <item x="120"/>
        <item x="21"/>
        <item x="121"/>
        <item x="77"/>
        <item x="27"/>
        <item x="13"/>
        <item x="5"/>
        <item x="56"/>
        <item x="47"/>
        <item x="74"/>
        <item x="147"/>
        <item x="148"/>
        <item x="80"/>
        <item x="43"/>
        <item x="11"/>
        <item h="1" x="8"/>
        <item x="177"/>
        <item t="default"/>
      </items>
    </pivotField>
    <pivotField showAll="0"/>
    <pivotField showAll="0"/>
    <pivotField showAll="0"/>
    <pivotField showAll="0"/>
  </pivotFields>
  <rowFields count="1">
    <field x="0"/>
  </rowFields>
  <rowItems count="9">
    <i>
      <x/>
    </i>
    <i>
      <x v="1"/>
    </i>
    <i>
      <x v="2"/>
    </i>
    <i>
      <x v="3"/>
    </i>
    <i>
      <x v="4"/>
    </i>
    <i>
      <x v="5"/>
    </i>
    <i>
      <x v="6"/>
    </i>
    <i>
      <x v="7"/>
    </i>
    <i t="grand">
      <x/>
    </i>
  </rowItems>
  <colFields count="1">
    <field x="1"/>
  </colFields>
  <colItems count="6">
    <i>
      <x/>
    </i>
    <i>
      <x v="1"/>
    </i>
    <i>
      <x v="2"/>
    </i>
    <i>
      <x v="3"/>
    </i>
    <i>
      <x v="4"/>
    </i>
    <i t="grand">
      <x/>
    </i>
  </colItems>
  <pageFields count="1">
    <pageField fld="8" hier="-1"/>
  </pageFields>
  <dataFields count="1">
    <dataField name="Average of Q1" fld="8" subtotal="average" baseField="0" baseItem="0" numFmtId="171"/>
  </dataFields>
  <formats count="6">
    <format dxfId="29">
      <pivotArea outline="0" collapsedLevelsAreSubtotals="1" fieldPosition="0"/>
    </format>
    <format dxfId="28">
      <pivotArea dataOnly="0" labelOnly="1" outline="0" fieldPosition="0">
        <references count="1">
          <reference field="8" count="0"/>
        </references>
      </pivotArea>
    </format>
    <format dxfId="27">
      <pivotArea field="1" type="button" dataOnly="0" labelOnly="1" outline="0" axis="axisCol" fieldPosition="0"/>
    </format>
    <format dxfId="26">
      <pivotArea type="topRight" dataOnly="0" labelOnly="1" outline="0" fieldPosition="0"/>
    </format>
    <format dxfId="25">
      <pivotArea dataOnly="0" labelOnly="1" fieldPosition="0">
        <references count="1">
          <reference field="1" count="0"/>
        </references>
      </pivotArea>
    </format>
    <format dxfId="2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1B2DF2-E0E0-554C-ADB8-97733E30C526}" name="IO_DB" displayName="IO_DB" ref="A1:AV16" totalsRowShown="0" headerRowDxfId="96" dataDxfId="94" headerRowBorderDxfId="95" tableBorderDxfId="93" totalsRowBorderDxfId="92" headerRowCellStyle="Normal 2 3" dataCellStyle="Normal 2 3">
  <autoFilter ref="A1:AV16" xr:uid="{A31C55F9-A97D-B44D-B504-CF10A67B366F}"/>
  <tableColumns count="48">
    <tableColumn id="1" xr3:uid="{94D98CC2-36C3-324F-9E2B-5695D37C6803}" name="Variable" dataDxfId="91" dataCellStyle="Normal 2 3"/>
    <tableColumn id="2" xr3:uid="{DF4FCEB1-1A5B-8945-B30C-06625DF2D991}" name="Impact/Output" dataDxfId="90" dataCellStyle="Normal 2 3"/>
    <tableColumn id="3" xr3:uid="{08F7B85F-6CCF-8545-8A80-F955698504DB}" name="Impact Area" dataDxfId="89" dataCellStyle="Normal 2 3"/>
    <tableColumn id="4" xr3:uid="{142E9B65-3695-124F-8D73-EA5AB850712D}" name="Year" dataDxfId="88" dataCellStyle="Normal 2 3"/>
    <tableColumn id="5" xr3:uid="{0BCD1A9D-7878-C841-82E7-F9784C32500D}" name="Manufacturing Country" dataDxfId="87" dataCellStyle="Normal 2 3"/>
    <tableColumn id="6" xr3:uid="{A2C78D59-E974-AA4E-9977-F0B8ADF17689}" name="Manufacturing Sector" dataDxfId="86" dataCellStyle="Normal 2 3"/>
    <tableColumn id="7" xr3:uid="{945B0A6D-90DA-7141-85D9-D2A2F9071760}" name="Type" dataDxfId="85" dataCellStyle="Normal 2 3"/>
    <tableColumn id="8" xr3:uid="{FD774364-9924-4945-8D84-EAE257E5CD03}" name="Tiers" dataDxfId="84" dataCellStyle="Normal 2 3"/>
    <tableColumn id="9" xr3:uid="{6C019005-0B16-8345-9BD1-D9437BAEEF54}" name="Impact on Country" dataDxfId="83" dataCellStyle="Normal 2 3"/>
    <tableColumn id="10" xr3:uid="{1898192E-B528-464B-AE70-0BA4E0FA93A8}" name="Impact on Sector" dataDxfId="82" dataCellStyle="Normal 2 3"/>
    <tableColumn id="11" xr3:uid="{C70242B6-33AC-8249-944D-38293A48F5A6}" name="Value" dataDxfId="81" dataCellStyle="Normal 2 3"/>
    <tableColumn id="12" xr3:uid="{101D4194-5545-8E4E-B78C-1A6D68B1BB7A}" name="Unit" dataDxfId="80" dataCellStyle="Normal 2 3"/>
    <tableColumn id="13" xr3:uid="{A878C71B-DF04-D446-8F27-DBD30ED42641}" name="freshwater ecotoxicity potential (FETP)" dataDxfId="79" dataCellStyle="Normal 2 3">
      <calculatedColumnFormula array="1">IFERROR(INDEX('LCA-IO'!$C$2:$C$175,MATCH($A2&amp;M$1,'LCA-IO'!$B$2:$B$175&amp;'LCA-IO'!$D$2:$D$175,0)),0)*$K2</calculatedColumnFormula>
    </tableColumn>
    <tableColumn id="14" xr3:uid="{758B9654-C9A2-9840-ABF7-A7F940448DF8}" name="human toxicity potential (HTPc)" dataDxfId="78" dataCellStyle="Normal 2 3">
      <calculatedColumnFormula array="1">IFERROR(INDEX('LCA-IO'!$C$2:$C$175,MATCH($A2&amp;N$1,'LCA-IO'!$B$2:$B$175&amp;'LCA-IO'!$D$2:$D$175,0)),0)*$K2</calculatedColumnFormula>
    </tableColumn>
    <tableColumn id="15" xr3:uid="{CDC9B34C-3DF6-B044-9475-60B4D41034DA}" name="human toxicity potential (HTPnc)" dataDxfId="77" dataCellStyle="Normal 2 3">
      <calculatedColumnFormula array="1">IFERROR(INDEX('LCA-IO'!$C$2:$C$175,MATCH($A2&amp;O$1,'LCA-IO'!$B$2:$B$175&amp;'LCA-IO'!$D$2:$D$175,0)),0)*$K2</calculatedColumnFormula>
    </tableColumn>
    <tableColumn id="16" xr3:uid="{6EB3A523-DFEB-A545-85B2-6D88F62A01E1}" name="photochemical oxidant formation potential: humans (HOFP)" dataDxfId="76" dataCellStyle="Normal 2 3">
      <calculatedColumnFormula array="1">IFERROR(INDEX('LCA-IO'!$C$2:$C$175,MATCH($A2&amp;P$1,'LCA-IO'!$B$2:$B$175&amp;'LCA-IO'!$D$2:$D$175,0)),0)*$K2</calculatedColumnFormula>
    </tableColumn>
    <tableColumn id="17" xr3:uid="{AFBE1BA1-078C-444F-B259-DB078F46AA1C}" name="photochemical oxidant formation potential: ecosystems (EOFP)" dataDxfId="75" dataCellStyle="Normal 2 3">
      <calculatedColumnFormula array="1">IFERROR(INDEX('LCA-IO'!$C$2:$C$175,MATCH($A2&amp;Q$1,'LCA-IO'!$B$2:$B$175&amp;'LCA-IO'!$D$2:$D$175,0)),0)*$K2</calculatedColumnFormula>
    </tableColumn>
    <tableColumn id="18" xr3:uid="{6D2A079F-8CBC-F74E-9013-CB13836FAB47}" name="terrestrial acidification potential (TAP)" dataDxfId="74" dataCellStyle="Normal 2 3">
      <calculatedColumnFormula array="1">IFERROR(INDEX('LCA-IO'!$C$2:$C$175,MATCH($A2&amp;R$1,'LCA-IO'!$B$2:$B$175&amp;'LCA-IO'!$D$2:$D$175,0)),0)*$K2</calculatedColumnFormula>
    </tableColumn>
    <tableColumn id="19" xr3:uid="{995D0996-8E8B-E344-8A09-0DC17F9EA17B}" name="global warming potential (GWP100)" dataDxfId="73" dataCellStyle="Normal 2 3">
      <calculatedColumnFormula array="1">IFERROR(INDEX('LCA-IO'!$C$2:$C$175,MATCH($A2&amp;S$1,'LCA-IO'!$B$2:$B$175&amp;'LCA-IO'!$D$2:$D$175,0)),0)*$K2</calculatedColumnFormula>
    </tableColumn>
    <tableColumn id="20" xr3:uid="{97BA8961-63D9-074C-9498-72A441119A6D}" name="marine ecotoxicity potential (METP)" dataDxfId="72" dataCellStyle="Normal 2 3">
      <calculatedColumnFormula array="1">IFERROR(INDEX('LCA-IO'!$C$2:$C$175,MATCH($A2&amp;T$1,'LCA-IO'!$B$2:$B$175&amp;'LCA-IO'!$D$2:$D$175,0)),0)*$K2</calculatedColumnFormula>
    </tableColumn>
    <tableColumn id="21" xr3:uid="{5A7304CB-0E18-AA49-BB63-2CB40807B682}" name="terrestrial ecotoxicity potential (TETP)" dataDxfId="71" dataCellStyle="Normal 2 3">
      <calculatedColumnFormula array="1">IFERROR(INDEX('LCA-IO'!$C$2:$C$175,MATCH($A2&amp;U$1,'LCA-IO'!$B$2:$B$175&amp;'LCA-IO'!$D$2:$D$175,0)),0)*$K2</calculatedColumnFormula>
    </tableColumn>
    <tableColumn id="22" xr3:uid="{5AB4751D-DA73-B64B-A36B-B3737D64F7CD}" name="fossil fuel potential (FFP)" dataDxfId="70" dataCellStyle="Normal 2 3">
      <calculatedColumnFormula array="1">IFERROR(INDEX('LCA-IO'!$C$2:$C$175,MATCH($A2&amp;V$1,'LCA-IO'!$B$2:$B$175&amp;'LCA-IO'!$D$2:$D$175,0)),0)*$K2</calculatedColumnFormula>
    </tableColumn>
    <tableColumn id="23" xr3:uid="{4B9104E2-0A95-034E-9416-BF956DF28319}" name="freshwater eutrophication potential (FEP)" dataDxfId="69" dataCellStyle="Normal 2 3">
      <calculatedColumnFormula array="1">IFERROR(INDEX('LCA-IO'!$C$2:$C$175,MATCH($A2&amp;W$1,'LCA-IO'!$B$2:$B$175&amp;'LCA-IO'!$D$2:$D$175,0)),0)*$K2</calculatedColumnFormula>
    </tableColumn>
    <tableColumn id="24" xr3:uid="{55C2E319-56BB-9B49-BEB9-77FAF195F343}" name="marine eutrophication potential (MEP)" dataDxfId="68" dataCellStyle="Normal 2 3">
      <calculatedColumnFormula array="1">IFERROR(INDEX('LCA-IO'!$C$2:$C$175,MATCH($A2&amp;X$1,'LCA-IO'!$B$2:$B$175&amp;'LCA-IO'!$D$2:$D$175,0)),0)*$K2</calculatedColumnFormula>
    </tableColumn>
    <tableColumn id="25" xr3:uid="{A68BAA8E-9D64-3247-A19C-80A3E90145C8}" name="ionising radiation potential (IRP)" dataDxfId="67" dataCellStyle="Normal 2 3">
      <calculatedColumnFormula array="1">IFERROR(INDEX('LCA-IO'!$C$2:$C$175,MATCH($A2&amp;Y$1,'LCA-IO'!$B$2:$B$175&amp;'LCA-IO'!$D$2:$D$175,0)),0)*$K2</calculatedColumnFormula>
    </tableColumn>
    <tableColumn id="26" xr3:uid="{88853760-639C-6447-9919-B4E146088530}" name="agricultural land occupation (LOP)" dataDxfId="66" dataCellStyle="Normal 2 3">
      <calculatedColumnFormula array="1">IFERROR(INDEX('LCA-IO'!$C$2:$C$175,MATCH($A2&amp;Z$1,'LCA-IO'!$B$2:$B$175&amp;'LCA-IO'!$D$2:$D$175,0)),0)*$K2</calculatedColumnFormula>
    </tableColumn>
    <tableColumn id="27" xr3:uid="{F95B122D-9C0F-AD4F-B722-A600E4EA6883}" name="surplus ore potential (SOP)" dataDxfId="65" dataCellStyle="Normal 2 3">
      <calculatedColumnFormula array="1">IFERROR(INDEX('LCA-IO'!$C$2:$C$175,MATCH($A2&amp;AA$1,'LCA-IO'!$B$2:$B$175&amp;'LCA-IO'!$D$2:$D$175,0)),0)*$K2</calculatedColumnFormula>
    </tableColumn>
    <tableColumn id="28" xr3:uid="{C32AF82E-7853-0848-90AC-D25A3F29DB9A}" name="ozone depletion potential (ODPinfinite)" dataDxfId="64" dataCellStyle="Normal 2 3">
      <calculatedColumnFormula array="1">IFERROR(INDEX('LCA-IO'!$C$2:$C$175,MATCH($A2&amp;AB$1,'LCA-IO'!$B$2:$B$175&amp;'LCA-IO'!$D$2:$D$175,0)),0)*$K2</calculatedColumnFormula>
    </tableColumn>
    <tableColumn id="29" xr3:uid="{4556C6D9-269C-F241-A02B-0D62DF011E13}" name="particulate matter formation potential (PMFP)" dataDxfId="63" dataCellStyle="Normal 2 3">
      <calculatedColumnFormula array="1">IFERROR(INDEX('LCA-IO'!$C$2:$C$175,MATCH($A2&amp;AC$1,'LCA-IO'!$B$2:$B$175&amp;'LCA-IO'!$D$2:$D$175,0)),0)*$K2</calculatedColumnFormula>
    </tableColumn>
    <tableColumn id="30" xr3:uid="{352111FA-7B08-A94C-8EC7-4EC5D6EFE68C}" name="total water extraction" dataDxfId="62" dataCellStyle="Normal 2 3">
      <calculatedColumnFormula array="1">IFERROR(INDEX('LCA-IO'!$C$2:$C$175,MATCH($A2&amp;AD$1,'LCA-IO'!$B$2:$B$175&amp;'LCA-IO'!$D$2:$D$175,0)),0)*$K2</calculatedColumnFormula>
    </tableColumn>
    <tableColumn id="31" xr3:uid="{13AE35E4-9002-C643-8FF3-5ECBF272483A}" name="Marine plastics" dataDxfId="61" dataCellStyle="Normal 2 3">
      <calculatedColumnFormula array="1">IFERROR(INDEX('LCA-IO'!$C$2:$C$175,MATCH($A2&amp;AE$1,'LCA-IO'!$B$2:$B$175&amp;'LCA-IO'!$D$2:$D$175,0)),0)*$K2</calculatedColumnFormula>
    </tableColumn>
    <tableColumn id="32" xr3:uid="{FFA89869-7B6A-3D49-9F0C-17110E5C503E}" name="Income - low-skilled workers" dataDxfId="60" dataCellStyle="Normal 2 3">
      <calculatedColumnFormula>IF(IO_DB[[#This Row],[Variable]]="Jobs Created FTEs Low-skilled in 1000 Persons",IO_DB[[#This Row],[Value]],0)*1000*MIN(INDEX('Wages | VI '!$Z:$Z,MATCH(IO_DB[[#This Row],[Manufacturing Country]],'Wages | VI '!$A:$A,0)),4*INDEX('LW2023-24 | VI'!$J:$J,MATCH(IO_DB[[#This Row],[Manufacturing Country]],'LW2023-24 | VI'!$C:$C,0)))</calculatedColumnFormula>
    </tableColumn>
    <tableColumn id="33" xr3:uid="{C8AF7648-BFA6-8444-9AD4-4D28123BEBBF}" name="Income - medium-skilled workers" dataDxfId="59" dataCellStyle="Normal 2 3">
      <calculatedColumnFormula>IF(IO_DB[[#This Row],[Variable]]="Jobs Created FTEs Medium-skilled in 1000 Persons",IO_DB[[#This Row],[Value]],0)*1000*MIN(INDEX('Wages | VI '!$AA:$AA,MATCH(IO_DB[[#This Row],[Manufacturing Country]],'Wages | VI '!$A:$A,0)),4*INDEX('LW2023-24 | VI'!$J:$J,MATCH(IO_DB[[#This Row],[Manufacturing Country]],'LW2023-24 | VI'!$C:$C,0)))</calculatedColumnFormula>
    </tableColumn>
    <tableColumn id="34" xr3:uid="{0A0296D0-B6D2-DB49-88E2-EA206B46C2B8}" name="Income - high-skilled workers" dataDxfId="58" dataCellStyle="Normal 2 3">
      <calculatedColumnFormula>IF(IO_DB[[#This Row],[Variable]]="Jobs Created FTEs High-skilled in 1000 Persons",IO_DB[[#This Row],[Value]],0)*1000*MIN(INDEX('Wages | VI '!$AB:$AB,MATCH(IO_DB[[#This Row],[Manufacturing Country]],'Wages | VI '!$A:$A,0)),4*INDEX('LW2023-24 | VI'!$J:$J,MATCH(IO_DB[[#This Row],[Manufacturing Country]],'LW2023-24 | VI'!$C:$C,0)))</calculatedColumnFormula>
    </tableColumn>
    <tableColumn id="35" xr3:uid="{E7BC15DE-4BF6-2644-A306-D9BDC73AA35B}" name="Gap to living wage - low-skilled workers" dataDxfId="57" dataCellStyle="Normal 2 3">
      <calculatedColumnFormula>IF(IO_DB[[#This Row],[Variable]]="Jobs Created FTEs Low-skilled in 1000 Persons",IO_DB[[#This Row],[Value]],0)*1000*MAX(0,INDEX('LW2023-24 | VI'!$J:$J,MATCH(IO_DB[[#This Row],[Manufacturing Country]],'LW2023-24 | VI'!$C:$C,0))-INDEX('Wages | VI '!$Z:$Z,MATCH(IO_DB[[#This Row],[Manufacturing Country]],'Wages | VI '!$A:$A,0)))</calculatedColumnFormula>
    </tableColumn>
    <tableColumn id="36" xr3:uid="{30C6CE6F-353C-664A-8D38-800AF4EF837E}" name="Gap to living wage - medium-skilled workers" dataDxfId="56" dataCellStyle="Normal 2 3">
      <calculatedColumnFormula>IF(IO_DB[[#This Row],[Variable]]="Jobs Created FTEs Medium-skilled in 1000 Persons",IO_DB[[#This Row],[Value]],0)*1000*MAX(0,INDEX('LW2023-24 | VI'!$J:$J,MATCH(IO_DB[[#This Row],[Manufacturing Country]],'LW2023-24 | VI'!$C:$C,0))-INDEX('Wages | VI '!$AA:$AA,MATCH(IO_DB[[#This Row],[Manufacturing Country]],'Wages | VI '!$A:$A,0)))</calculatedColumnFormula>
    </tableColumn>
    <tableColumn id="37" xr3:uid="{8DD7FA55-F6AB-2C45-AE5A-A815CBE2EE26}" name="Gap to living wage - high-skilled workers" dataDxfId="55" dataCellStyle="Normal 2 3">
      <calculatedColumnFormula>IF(IO_DB[[#This Row],[Variable]]="Jobs Created FTEs High-skilled in 1000 Persons",IO_DB[[#This Row],[Value]],0)*1000*MAX(0,INDEX('LW2023-24 | VI'!$J:$J,MATCH(IO_DB[[#This Row],[Manufacturing Country]],'LW2023-24 | VI'!$C:$C,0))-INDEX('Wages | VI '!$AB:$AB,MATCH(IO_DB[[#This Row],[Manufacturing Country]],'Wages | VI '!$A:$A,0)))</calculatedColumnFormula>
    </tableColumn>
    <tableColumn id="38" xr3:uid="{652475A9-F96D-8A42-AA60-14B2FF3EFC5B}" name="Gender pay gap" dataDxfId="54" dataCellStyle="Normal 2 3">
      <calculatedColumnFormula>IF(IO_DB[[#This Row],[Variable]]="Gender Pay Gap in USD",IO_DB[[#This Row],[Value]],0)</calculatedColumnFormula>
    </tableColumn>
    <tableColumn id="47" xr3:uid="{80DE7505-A886-C041-980A-5716A089291C}" name="Disability pay gap" dataDxfId="53" dataCellStyle="Normal 2 3">
      <calculatedColumnFormula>IF(IO_DB[[#This Row],[Variable]]="Disability Pay Gap in USD",IO_DB[[#This Row],[Value]],0)</calculatedColumnFormula>
    </tableColumn>
    <tableColumn id="39" xr3:uid="{52203F47-FA11-4249-9C55-5BB02BC3F1D1}" name="Child labor" dataDxfId="52" dataCellStyle="Normal 2 3">
      <calculatedColumnFormula>IF(IO_DB[[#This Row],[Variable]]="Child Labor in Children",IO_DB[[#This Row],[Value]],0)*INDEX('EDU | VI'!$K:$M,MATCH(IO_DB[[#This Row],[Manufacturing Country]],'EDU | VI'!$A:$A,0),2)*'Parameters | Agora'!$B$22</calculatedColumnFormula>
    </tableColumn>
    <tableColumn id="40" xr3:uid="{D9C96D30-166C-FC4E-B624-D9B7CE289097}" name="Training" dataDxfId="51" dataCellStyle="Normal 2 3">
      <calculatedColumnFormula>IF(IO_DB[[#This Row],[Variable]]="Human Capital / Training in Hours",IO_DB[[#This Row],[Value]],0)*INDEX('EDU | VI'!$K:$M,MATCH(IO_DB[[#This Row],[Manufacturing Country]],'EDU | VI'!$A:$A,0),2)</calculatedColumnFormula>
    </tableColumn>
    <tableColumn id="41" xr3:uid="{3F7CAF01-8CD0-E045-9EA6-31FBFA3B1F53}" name="Forced labor" dataDxfId="50" dataCellStyle="Normal 2 3">
      <calculatedColumnFormula>IF(IO_DB[[#This Row],[Variable]]="Forced Labor in Persons",IO_DB[[#This Row],[Value]],0)*'Parameters | Agora'!$B$41</calculatedColumnFormula>
    </tableColumn>
    <tableColumn id="42" xr3:uid="{EC65B1AD-0C78-704D-808E-DCF7A2A4685A}" name="Injuries" dataDxfId="49" dataCellStyle="Normal 2 3">
      <calculatedColumnFormula>IF(IO_DB[[#This Row],[Variable]]="OHS Injury Total in Cases",IO_DB[[#This Row],[Value]],0)*INDEX('HEALTH | VI'!$L:$L,MATCH(IO_DB[[#This Row],[Manufacturing Country]],'HEALTH | VI'!$A:$A,0))</calculatedColumnFormula>
    </tableColumn>
    <tableColumn id="44" xr3:uid="{63CEACCC-3756-7C4F-86C4-ED926BB8DF84}" name="Disease/Illness" dataDxfId="48" dataCellStyle="Normal 2 3">
      <calculatedColumnFormula>IF(IO_DB[[#This Row],[Variable]]="OHS Disease/Illness Total in Cases",IO_DB[[#This Row],[Value]],0)*'Parameters | Agora'!$B$47</calculatedColumnFormula>
    </tableColumn>
    <tableColumn id="49" xr3:uid="{4D5E3587-9197-254C-81F8-6426A01D91A7}" name="Freedom of association" dataDxfId="47" dataCellStyle="Normal 2 3">
      <calculatedColumnFormula>IF(IO_DB[[#This Row],[Variable]]="Freedom of Association in Cases",IO_DB[[#This Row],[Value]],0)*'Parameters | Agora'!$B$51*INDEX('Wages | VI '!$Z:$AB,MATCH(IO_DB[[#This Row],[Manufacturing Country]],'Wages | VI '!$A:$A,0),1)</calculatedColumnFormula>
    </tableColumn>
    <tableColumn id="48" xr3:uid="{BC370652-5EFA-E342-8B61-433A5C21F28A}" name="Working overtime" dataDxfId="46" dataCellStyle="Normal 2 3">
      <calculatedColumnFormula>IF(IO_DB[[#This Row],[Variable]]="Working Overtime in Cases",IO_DB[[#This Row],[Value]],0)*'Parameters | Agora'!$B$57</calculatedColumnFormula>
    </tableColumn>
    <tableColumn id="45" xr3:uid="{DBEC67C4-2226-2842-9640-6D3E2E87A46F}" name="Corporate taxes" dataDxfId="45" dataCellStyle="Normal 2 3">
      <calculatedColumnFormula>IF(IO_DB[[#This Row],[Variable]]="Corporate Income Taxes (IMF Tax Revenue Database) in USD",IO_DB[[#This Row],[Value]],0)</calculatedColumnFormula>
    </tableColumn>
    <tableColumn id="46" xr3:uid="{5C35D995-A66E-1544-AD9E-10E5DC41096F}" name="Personal income taxes" dataDxfId="44" dataCellStyle="Normal 2 3">
      <calculatedColumnFormula>IF(IO_DB[[#This Row],[Variable]]="Personal Income Taxes (Collecting Taxes Database) in USD",IO_DB[[#This Row],[Value]],0)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897262E-FB0D-8443-AC83-5EFF686EB33E}" name="Countries_Codes" displayName="Countries_Codes" ref="A1:G189" totalsRowShown="0" dataCellStyle="Normal 9">
  <autoFilter ref="A1:G189" xr:uid="{0FE010CC-3CE8-45A1-A154-F4AFF6D74FE5}"/>
  <tableColumns count="7">
    <tableColumn id="1" xr3:uid="{2FDBE6BD-18B7-0C43-B2F5-62EE11C21559}" name="Country Code 2 digit"/>
    <tableColumn id="2" xr3:uid="{254BD09D-9317-9945-9845-56658C6B72B0}" name="Country Code 3 digit" dataDxfId="43" dataCellStyle="Normal 7"/>
    <tableColumn id="3" xr3:uid="{9D8374B3-5750-5347-9042-32AE350D9815}" name="Country name" dataDxfId="42" dataCellStyle="Normal 7"/>
    <tableColumn id="4" xr3:uid="{41A6CC0F-6C00-F743-BB3C-F1620B099254}" name="Earning Premium Database" dataCellStyle="Normal 9"/>
    <tableColumn id="5" xr3:uid="{F050B18B-D9D0-6149-921D-8E3188C6CA49}" name="UNEP and ISWA" dataCellStyle="Normal 9"/>
    <tableColumn id="6" xr3:uid="{C4F2BE15-6373-A246-A714-0578D1EA7AA1}" name="OECD, 2019" dataCellStyle="Normal 9"/>
    <tableColumn id="7" xr3:uid="{1D040D8A-8C8A-1E45-B3BE-9A8812CDDF23}" name="Income level, World Bank (2024)" dataDxfId="41" dataCellStyle="Normal 9"/>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560080-780D-404E-8D22-C571EFD1D426}" name="LifeExpectancy" displayName="LifeExpectancy" ref="A1:F239" totalsRowShown="0" headerRowDxfId="40" headerRowBorderDxfId="39" tableBorderDxfId="38" headerRowCellStyle="Normal 2">
  <autoFilter ref="A1:F239" xr:uid="{EA560080-780D-404E-8D22-C571EFD1D426}"/>
  <tableColumns count="6">
    <tableColumn id="1" xr3:uid="{7581DED8-5FE0-A040-AED6-81B6AF978E04}" name="Country" dataDxfId="37"/>
    <tableColumn id="2" xr3:uid="{B266BAB5-B5B2-3744-8B3A-DA40000C9251}" name="Country code" dataDxfId="36"/>
    <tableColumn id="3" xr3:uid="{0149A2A4-9BF3-6141-BE21-B0B85688FA20}" name="Life expectancy year data" dataDxfId="35"/>
    <tableColumn id="4" xr3:uid="{75667F02-8154-2A4A-BD58-CFEEB67267A6}" name="Period life expectancy at birth - Sex: total - Age: 0" dataDxfId="34"/>
    <tableColumn id="5" xr3:uid="{75B4DE70-E3B0-E84C-B7A7-20DC46047FB5}" name="Median age year data" dataDxfId="33"/>
    <tableColumn id="6" xr3:uid="{B3C0B63B-5075-3A4E-9222-2ED4B8C89D0C}" name="Median age - Sex: all - Age: all - Variant: estimates" dataDxfId="3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luing Impact">
      <a:dk1>
        <a:srgbClr val="000000"/>
      </a:dk1>
      <a:lt1>
        <a:srgbClr val="FFFFFF"/>
      </a:lt1>
      <a:dk2>
        <a:srgbClr val="2C4B69"/>
      </a:dk2>
      <a:lt2>
        <a:srgbClr val="E7E6E6"/>
      </a:lt2>
      <a:accent1>
        <a:srgbClr val="2C4B68"/>
      </a:accent1>
      <a:accent2>
        <a:srgbClr val="6CBCC3"/>
      </a:accent2>
      <a:accent3>
        <a:srgbClr val="4F9F97"/>
      </a:accent3>
      <a:accent4>
        <a:srgbClr val="727C7D"/>
      </a:accent4>
      <a:accent5>
        <a:srgbClr val="F37C4C"/>
      </a:accent5>
      <a:accent6>
        <a:srgbClr val="F5C85C"/>
      </a:accent6>
      <a:hlink>
        <a:srgbClr val="2C4B69"/>
      </a:hlink>
      <a:folHlink>
        <a:srgbClr val="727C7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ABADFE7-3D97-F042-847D-1D2747B83CDB}">
  <we:reference id="WA200009404" version="1.0.0.8" store="Omex" storeType="OMEX"/>
  <we:alternateReferences>
    <we:reference id="WA200009404" version="1.0.0.8" store="WA200009404" storeType="OMEX"/>
  </we:alternateReferences>
  <we:properties>
    <we:property name="claude.fileId" value="&quot;8f375fac-4c13-4ea4-b8ec-b8a321df3dc6&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2.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 Id="rId5" Type="http://schemas.openxmlformats.org/officeDocument/2006/relationships/pivotTable" Target="../pivotTables/pivotTable7.xml"/><Relationship Id="rId4" Type="http://schemas.openxmlformats.org/officeDocument/2006/relationships/pivotTable" Target="../pivotTables/pivotTable6.xml"/></Relationships>
</file>

<file path=xl/worksheets/_rels/sheet4.xml.rels><?xml version="1.0" encoding="UTF-8" standalone="yes"?>
<Relationships xmlns="http://schemas.openxmlformats.org/package/2006/relationships"><Relationship Id="rId13" Type="http://schemas.openxmlformats.org/officeDocument/2006/relationships/hyperlink" Target="https://ghdx.healthdata.org/record/ihme-data/gbd-2019-disability-weights" TargetMode="External"/><Relationship Id="rId18" Type="http://schemas.openxmlformats.org/officeDocument/2006/relationships/hyperlink" Target="https://ghdx.healthdata.org/record/ihme-data/gbd-2019-disability-weights" TargetMode="External"/><Relationship Id="rId26" Type="http://schemas.openxmlformats.org/officeDocument/2006/relationships/hyperlink" Target="https://doi.org/10.1007/s10461-023-04204-6" TargetMode="External"/><Relationship Id="rId39" Type="http://schemas.openxmlformats.org/officeDocument/2006/relationships/hyperlink" Target="https://ghdx.healthdata.org/record/ihme-data/gbd-2019-disability-weights" TargetMode="External"/><Relationship Id="rId21" Type="http://schemas.openxmlformats.org/officeDocument/2006/relationships/hyperlink" Target="https://ghdx.healthdata.org/record/ihme-data/gbd-2019-disability-weights" TargetMode="External"/><Relationship Id="rId34" Type="http://schemas.openxmlformats.org/officeDocument/2006/relationships/hyperlink" Target="https://oppla.eu/casestudy/23345" TargetMode="External"/><Relationship Id="rId42" Type="http://schemas.openxmlformats.org/officeDocument/2006/relationships/comments" Target="../comments1.xml"/><Relationship Id="rId7" Type="http://schemas.openxmlformats.org/officeDocument/2006/relationships/hyperlink" Target="https://pubmed.ncbi.nlm.nih.gov/41176030/" TargetMode="External"/><Relationship Id="rId2" Type="http://schemas.openxmlformats.org/officeDocument/2006/relationships/hyperlink" Target="https://doi.org/10.1021/acs.est.0c04740" TargetMode="External"/><Relationship Id="rId16" Type="http://schemas.openxmlformats.org/officeDocument/2006/relationships/hyperlink" Target="https://ghdx.healthdata.org/record/ihme-data/gbd-2019-disability-weights" TargetMode="External"/><Relationship Id="rId20" Type="http://schemas.openxmlformats.org/officeDocument/2006/relationships/hyperlink" Target="https://www.elconfidencialdigital.com/judicial/articulo/rumor-de-togas/espana-paga-1000-euros-menos-que-europa-dato-que-hace-estallar-abogados-turno-oficio/20260505050000019541.html" TargetMode="External"/><Relationship Id="rId29" Type="http://schemas.openxmlformats.org/officeDocument/2006/relationships/hyperlink" Target="https://www.expatica.com/es/living/family/preschool-spain-107654/" TargetMode="External"/><Relationship Id="rId41" Type="http://schemas.openxmlformats.org/officeDocument/2006/relationships/vmlDrawing" Target="../drawings/vmlDrawing1.vml"/><Relationship Id="rId1" Type="http://schemas.openxmlformats.org/officeDocument/2006/relationships/hyperlink" Target="https://doi.org/10.1007/s13280-014-0507-x" TargetMode="External"/><Relationship Id="rId6" Type="http://schemas.openxmlformats.org/officeDocument/2006/relationships/hyperlink" Target="https://doi.org/10.3390/su8111156" TargetMode="External"/><Relationship Id="rId11" Type="http://schemas.openxmlformats.org/officeDocument/2006/relationships/hyperlink" Target="https://www.cdc.gov/pcd/issues/2019/18_0549.htm" TargetMode="External"/><Relationship Id="rId24" Type="http://schemas.openxmlformats.org/officeDocument/2006/relationships/hyperlink" Target="https://ghdx.healthdata.org/record/ihme-data/gbd-2019-disability-weights" TargetMode="External"/><Relationship Id="rId32" Type="http://schemas.openxmlformats.org/officeDocument/2006/relationships/hyperlink" Target="https://www.teebweb.org/wp-content/uploads/2014/03/TEEB-Database-and-Valuation-Manual_2013.pdf" TargetMode="External"/><Relationship Id="rId37" Type="http://schemas.openxmlformats.org/officeDocument/2006/relationships/hyperlink" Target="https://doi.org/10.1061/(ASCE)UP.1943-5444.0000700" TargetMode="External"/><Relationship Id="rId40" Type="http://schemas.openxmlformats.org/officeDocument/2006/relationships/hyperlink" Target="https://ghdx.healthdata.org/record/ihme-data/gbd-2019-disability-weights" TargetMode="External"/><Relationship Id="rId5" Type="http://schemas.openxmlformats.org/officeDocument/2006/relationships/hyperlink" Target="https://doi.org/10.1038/s41559-018-0769-y" TargetMode="External"/><Relationship Id="rId15" Type="http://schemas.openxmlformats.org/officeDocument/2006/relationships/hyperlink" Target="https://ghdx.healthdata.org/record/ihme-data/gbd-2019-disability-weights" TargetMode="External"/><Relationship Id="rId23" Type="http://schemas.openxmlformats.org/officeDocument/2006/relationships/hyperlink" Target="https://ghdx.healthdata.org/record/ihme-data/gbd-2019-disability-weights" TargetMode="External"/><Relationship Id="rId28" Type="http://schemas.openxmlformats.org/officeDocument/2006/relationships/hyperlink" Target="https://ghdx.healthdata.org/record/ihme-data/gbd-2019-disability-weights" TargetMode="External"/><Relationship Id="rId36" Type="http://schemas.openxmlformats.org/officeDocument/2006/relationships/hyperlink" Target="https://ghdx.healthdata.org/record/ihme-data/gbd-2019-disability-weights" TargetMode="External"/><Relationship Id="rId10" Type="http://schemas.openxmlformats.org/officeDocument/2006/relationships/hyperlink" Target="https://ghdx.healthdata.org/record/ihme-data/gbd-2019-disability-weights" TargetMode="External"/><Relationship Id="rId19" Type="http://schemas.openxmlformats.org/officeDocument/2006/relationships/hyperlink" Target="https://doi.org/10.1111/acps.13559" TargetMode="External"/><Relationship Id="rId31" Type="http://schemas.openxmlformats.org/officeDocument/2006/relationships/hyperlink" Target="https://www.oecd.org/content/dam/oecd/en/publications/reports/2022/10/modernising-social-services-in-spain_109f71b9/4add887d-en.pdf" TargetMode="External"/><Relationship Id="rId4" Type="http://schemas.openxmlformats.org/officeDocument/2006/relationships/hyperlink" Target="https://doi.org/10.3390/su14127079" TargetMode="External"/><Relationship Id="rId9" Type="http://schemas.openxmlformats.org/officeDocument/2006/relationships/hyperlink" Target="https://oppla.eu/casestudy/23345" TargetMode="External"/><Relationship Id="rId14" Type="http://schemas.openxmlformats.org/officeDocument/2006/relationships/hyperlink" Target="https://balcellsgroup.com/" TargetMode="External"/><Relationship Id="rId22" Type="http://schemas.openxmlformats.org/officeDocument/2006/relationships/hyperlink" Target="https://ghdx.healthdata.org/record/ihme-data/gbd-2019-disability-weights" TargetMode="External"/><Relationship Id="rId27" Type="http://schemas.openxmlformats.org/officeDocument/2006/relationships/hyperlink" Target="https://ghdx.healthdata.org/record/ihme-data/gbd-2019-disability-weights" TargetMode="External"/><Relationship Id="rId30" Type="http://schemas.openxmlformats.org/officeDocument/2006/relationships/hyperlink" Target="https://esanasesores.com/en/subsidios-por-desempleo/" TargetMode="External"/><Relationship Id="rId35" Type="http://schemas.openxmlformats.org/officeDocument/2006/relationships/hyperlink" Target="https://ghdx.healthdata.org/record/ihme-data/gbd-2019-disability-weights" TargetMode="External"/><Relationship Id="rId8" Type="http://schemas.openxmlformats.org/officeDocument/2006/relationships/hyperlink" Target="https://pubmed.ncbi.nlm.nih.gov/41176030/" TargetMode="External"/><Relationship Id="rId3" Type="http://schemas.openxmlformats.org/officeDocument/2006/relationships/hyperlink" Target="https://www.ecb.europa.eu/stats/exchange/eurofxref/html/eurofxref-graph-usd.en.html" TargetMode="External"/><Relationship Id="rId12" Type="http://schemas.openxmlformats.org/officeDocument/2006/relationships/hyperlink" Target="https://pubmed.ncbi.nlm.nih.gov/41176030/" TargetMode="External"/><Relationship Id="rId17" Type="http://schemas.openxmlformats.org/officeDocument/2006/relationships/hyperlink" Target="https://ghdx.healthdata.org/record/ihme-data/gbd-2019-disability-weights" TargetMode="External"/><Relationship Id="rId25" Type="http://schemas.openxmlformats.org/officeDocument/2006/relationships/hyperlink" Target="https://doi.org/10.1111/acps.13559" TargetMode="External"/><Relationship Id="rId33" Type="http://schemas.openxmlformats.org/officeDocument/2006/relationships/hyperlink" Target="https://ghdx.healthdata.org/record/ihme-data/gbd-2019-disability-weights" TargetMode="External"/><Relationship Id="rId38" Type="http://schemas.openxmlformats.org/officeDocument/2006/relationships/hyperlink" Target="https://ghdx.healthdata.org/record/ihme-data/gbd-2019-disability-weight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who.int/data/gho/indicator-metadata-registry/imr-details/2259" TargetMode="External"/><Relationship Id="rId3" Type="http://schemas.openxmlformats.org/officeDocument/2006/relationships/hyperlink" Target="https://databankfiles.worldbank.org/public/ddpext_download/GNIPC.pdf" TargetMode="External"/><Relationship Id="rId7" Type="http://schemas.openxmlformats.org/officeDocument/2006/relationships/hyperlink" Target="https://www.who.int/data/gho/data/indicators/indicator-details/GHO/concentrations-of-fine-particulate-matter-(pm2-5)" TargetMode="External"/><Relationship Id="rId2" Type="http://schemas.openxmlformats.org/officeDocument/2006/relationships/hyperlink" Target="https://blogs.worldbank.org/opendata/new-world-bank-group-country-classifications-income-level-fy24" TargetMode="External"/><Relationship Id="rId1" Type="http://schemas.openxmlformats.org/officeDocument/2006/relationships/hyperlink" Target="https://vizhub.healthdata.org/gbd-results/" TargetMode="External"/><Relationship Id="rId6" Type="http://schemas.openxmlformats.org/officeDocument/2006/relationships/hyperlink" Target="https://data.worldbank.org/indicator/SP.POP.TOTL" TargetMode="External"/><Relationship Id="rId5" Type="http://schemas.openxmlformats.org/officeDocument/2006/relationships/hyperlink" Target="https://apps.who.int/nha/database" TargetMode="External"/><Relationship Id="rId4" Type="http://schemas.openxmlformats.org/officeDocument/2006/relationships/hyperlink" Target="https://www.imf.org/external/datamapper/PCPIPCH@WEO/OEMDC/ADVEC/WEOWORLD" TargetMode="External"/><Relationship Id="rId9" Type="http://schemas.openxmlformats.org/officeDocument/2006/relationships/hyperlink" Target="https://data.worldbank.org/indicator/AG.LND.PRCP.M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D28E8-A78D-40F1-B549-3CBE5AD89FF2}">
  <dimension ref="A3:B53"/>
  <sheetViews>
    <sheetView workbookViewId="0">
      <selection activeCell="E9" sqref="E9"/>
    </sheetView>
  </sheetViews>
  <sheetFormatPr defaultRowHeight="15.6"/>
  <cols>
    <col min="1" max="1" width="36.59765625" bestFit="1" customWidth="1"/>
    <col min="2" max="2" width="45.296875" customWidth="1"/>
  </cols>
  <sheetData>
    <row r="3" spans="1:2">
      <c r="A3" s="104" t="s">
        <v>1732</v>
      </c>
      <c r="B3" t="s">
        <v>3110</v>
      </c>
    </row>
    <row r="4" spans="1:2">
      <c r="A4" s="103" t="s">
        <v>3045</v>
      </c>
      <c r="B4" s="88">
        <v>30000</v>
      </c>
    </row>
    <row r="5" spans="1:2">
      <c r="A5" s="213" t="s">
        <v>3093</v>
      </c>
      <c r="B5" s="88">
        <v>30000</v>
      </c>
    </row>
    <row r="6" spans="1:2">
      <c r="A6" s="103" t="s">
        <v>3057</v>
      </c>
      <c r="B6" s="88">
        <v>84040</v>
      </c>
    </row>
    <row r="7" spans="1:2">
      <c r="A7" s="213" t="s">
        <v>3039</v>
      </c>
      <c r="B7" s="88">
        <v>20000</v>
      </c>
    </row>
    <row r="8" spans="1:2">
      <c r="A8" s="213" t="s">
        <v>3099</v>
      </c>
      <c r="B8" s="88">
        <v>11680</v>
      </c>
    </row>
    <row r="9" spans="1:2">
      <c r="A9" s="213" t="s">
        <v>3098</v>
      </c>
      <c r="B9" s="88">
        <v>52360</v>
      </c>
    </row>
    <row r="10" spans="1:2">
      <c r="A10" s="103" t="s">
        <v>3046</v>
      </c>
      <c r="B10" s="88">
        <v>58826.295808219169</v>
      </c>
    </row>
    <row r="11" spans="1:2">
      <c r="A11" s="213" t="s">
        <v>3073</v>
      </c>
      <c r="B11" s="88">
        <v>38847.553835616432</v>
      </c>
    </row>
    <row r="12" spans="1:2">
      <c r="A12" s="213" t="s">
        <v>3074</v>
      </c>
      <c r="B12" s="88">
        <v>19978.741972602736</v>
      </c>
    </row>
    <row r="13" spans="1:2">
      <c r="A13" s="103" t="s">
        <v>3041</v>
      </c>
      <c r="B13" s="88">
        <v>198695.2648</v>
      </c>
    </row>
    <row r="14" spans="1:2">
      <c r="A14" s="213" t="s">
        <v>2673</v>
      </c>
      <c r="B14" s="88">
        <v>48000</v>
      </c>
    </row>
    <row r="15" spans="1:2">
      <c r="A15" s="213" t="s">
        <v>3077</v>
      </c>
      <c r="B15" s="88">
        <v>37819.199999999997</v>
      </c>
    </row>
    <row r="16" spans="1:2">
      <c r="A16" s="213" t="s">
        <v>3075</v>
      </c>
      <c r="B16" s="88">
        <v>68172.6728</v>
      </c>
    </row>
    <row r="17" spans="1:2">
      <c r="A17" s="213" t="s">
        <v>3076</v>
      </c>
      <c r="B17" s="88">
        <v>44703.392</v>
      </c>
    </row>
    <row r="18" spans="1:2">
      <c r="A18" s="103" t="s">
        <v>3049</v>
      </c>
      <c r="B18" s="88">
        <v>36000</v>
      </c>
    </row>
    <row r="19" spans="1:2">
      <c r="A19" s="213" t="s">
        <v>3094</v>
      </c>
      <c r="B19" s="88">
        <v>36000</v>
      </c>
    </row>
    <row r="20" spans="1:2">
      <c r="A20" s="103" t="s">
        <v>3054</v>
      </c>
      <c r="B20" s="88">
        <v>18387.712319999999</v>
      </c>
    </row>
    <row r="21" spans="1:2">
      <c r="A21" s="213" t="s">
        <v>3052</v>
      </c>
      <c r="B21" s="88">
        <v>9387.7123200000005</v>
      </c>
    </row>
    <row r="22" spans="1:2">
      <c r="A22" s="213" t="s">
        <v>3097</v>
      </c>
      <c r="B22" s="88">
        <v>3000</v>
      </c>
    </row>
    <row r="23" spans="1:2">
      <c r="A23" s="213" t="s">
        <v>3037</v>
      </c>
      <c r="B23" s="88">
        <v>6000</v>
      </c>
    </row>
    <row r="24" spans="1:2">
      <c r="A24" s="103" t="s">
        <v>3072</v>
      </c>
      <c r="B24" s="88">
        <v>128608.02318904109</v>
      </c>
    </row>
    <row r="25" spans="1:2">
      <c r="A25" s="213" t="s">
        <v>3092</v>
      </c>
      <c r="B25" s="88">
        <v>52500</v>
      </c>
    </row>
    <row r="26" spans="1:2">
      <c r="A26" s="213" t="s">
        <v>2667</v>
      </c>
      <c r="B26" s="88">
        <v>48000</v>
      </c>
    </row>
    <row r="27" spans="1:2">
      <c r="A27" s="213" t="s">
        <v>3035</v>
      </c>
      <c r="B27" s="88">
        <v>28108.023189041098</v>
      </c>
    </row>
    <row r="28" spans="1:2">
      <c r="A28" s="103" t="s">
        <v>3055</v>
      </c>
      <c r="B28" s="88">
        <v>77762.847180000012</v>
      </c>
    </row>
    <row r="29" spans="1:2">
      <c r="A29" s="213" t="s">
        <v>3052</v>
      </c>
      <c r="B29" s="88">
        <v>55739.541900000004</v>
      </c>
    </row>
    <row r="30" spans="1:2">
      <c r="A30" s="213" t="s">
        <v>3056</v>
      </c>
      <c r="B30" s="88">
        <v>18000</v>
      </c>
    </row>
    <row r="31" spans="1:2">
      <c r="A31" s="213" t="s">
        <v>3038</v>
      </c>
      <c r="B31" s="88">
        <v>4023.3052799999996</v>
      </c>
    </row>
    <row r="32" spans="1:2">
      <c r="A32" s="103" t="s">
        <v>3053</v>
      </c>
      <c r="B32" s="88">
        <v>91415.587709999993</v>
      </c>
    </row>
    <row r="33" spans="1:2">
      <c r="A33" s="213" t="s">
        <v>3052</v>
      </c>
      <c r="B33" s="88">
        <v>50165.58771</v>
      </c>
    </row>
    <row r="34" spans="1:2">
      <c r="A34" s="213" t="s">
        <v>3096</v>
      </c>
      <c r="B34" s="88">
        <v>21250</v>
      </c>
    </row>
    <row r="35" spans="1:2">
      <c r="A35" s="213" t="s">
        <v>3051</v>
      </c>
      <c r="B35" s="88">
        <v>20000</v>
      </c>
    </row>
    <row r="36" spans="1:2">
      <c r="A36" s="103" t="s">
        <v>3050</v>
      </c>
      <c r="B36" s="88">
        <v>71173.306815999997</v>
      </c>
    </row>
    <row r="37" spans="1:2">
      <c r="A37" s="213" t="s">
        <v>3052</v>
      </c>
      <c r="B37" s="88">
        <v>35673.306815999997</v>
      </c>
    </row>
    <row r="38" spans="1:2">
      <c r="A38" s="213" t="s">
        <v>3095</v>
      </c>
      <c r="B38" s="88">
        <v>25500</v>
      </c>
    </row>
    <row r="39" spans="1:2">
      <c r="A39" s="213" t="s">
        <v>3051</v>
      </c>
      <c r="B39" s="88">
        <v>10000</v>
      </c>
    </row>
    <row r="40" spans="1:2">
      <c r="A40" s="103" t="s">
        <v>3059</v>
      </c>
      <c r="B40" s="88">
        <v>47500</v>
      </c>
    </row>
    <row r="41" spans="1:2">
      <c r="A41" s="213" t="s">
        <v>3040</v>
      </c>
      <c r="B41" s="88">
        <v>22500</v>
      </c>
    </row>
    <row r="42" spans="1:2">
      <c r="A42" s="213" t="s">
        <v>3100</v>
      </c>
      <c r="B42" s="88">
        <v>25000</v>
      </c>
    </row>
    <row r="43" spans="1:2">
      <c r="A43" s="103" t="s">
        <v>3078</v>
      </c>
      <c r="B43" s="88">
        <v>12916.441249266507</v>
      </c>
    </row>
    <row r="44" spans="1:2">
      <c r="A44" s="213" t="s">
        <v>3079</v>
      </c>
      <c r="B44" s="88">
        <v>1116.6400000000001</v>
      </c>
    </row>
    <row r="45" spans="1:2">
      <c r="A45" s="213" t="s">
        <v>3082</v>
      </c>
      <c r="B45" s="88">
        <v>210.00000000000003</v>
      </c>
    </row>
    <row r="46" spans="1:2">
      <c r="A46" s="213" t="s">
        <v>3081</v>
      </c>
      <c r="B46" s="88">
        <v>19.801249266507661</v>
      </c>
    </row>
    <row r="47" spans="1:2">
      <c r="A47" s="213" t="s">
        <v>3088</v>
      </c>
      <c r="B47" s="88">
        <v>10800</v>
      </c>
    </row>
    <row r="48" spans="1:2">
      <c r="A48" s="213" t="s">
        <v>3090</v>
      </c>
      <c r="B48" s="88">
        <v>560</v>
      </c>
    </row>
    <row r="49" spans="1:2">
      <c r="A49" s="213" t="s">
        <v>3084</v>
      </c>
      <c r="B49" s="88">
        <v>70</v>
      </c>
    </row>
    <row r="50" spans="1:2">
      <c r="A50" s="213" t="s">
        <v>3086</v>
      </c>
      <c r="B50" s="88">
        <v>140</v>
      </c>
    </row>
    <row r="51" spans="1:2">
      <c r="A51" s="103" t="s">
        <v>3047</v>
      </c>
      <c r="B51" s="88">
        <v>32800</v>
      </c>
    </row>
    <row r="52" spans="1:2">
      <c r="A52" s="213" t="s">
        <v>2729</v>
      </c>
      <c r="B52" s="88">
        <v>32800</v>
      </c>
    </row>
    <row r="53" spans="1:2">
      <c r="A53" s="103" t="s">
        <v>3</v>
      </c>
      <c r="B53" s="88">
        <v>888125.47907252668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B91D0-A9F4-9E43-B21D-2D0667020F0E}">
  <sheetPr>
    <tabColor theme="8"/>
  </sheetPr>
  <dimension ref="A1:G154"/>
  <sheetViews>
    <sheetView showGridLines="0" zoomScale="216" workbookViewId="0">
      <selection activeCell="AD20" sqref="AD20"/>
    </sheetView>
  </sheetViews>
  <sheetFormatPr defaultColWidth="11" defaultRowHeight="15.6"/>
  <cols>
    <col min="1" max="1" width="20.69921875" customWidth="1"/>
    <col min="2" max="3" width="16.296875" customWidth="1"/>
    <col min="4" max="4" width="23.5" bestFit="1" customWidth="1"/>
    <col min="5" max="5" width="19" bestFit="1" customWidth="1"/>
    <col min="6" max="6" width="15.5" customWidth="1"/>
    <col min="7" max="7" width="16.69921875" customWidth="1"/>
  </cols>
  <sheetData>
    <row r="1" spans="1:7" s="37" customFormat="1" ht="43.8" thickBot="1">
      <c r="A1" s="35" t="s">
        <v>1507</v>
      </c>
      <c r="B1" s="35" t="s">
        <v>37</v>
      </c>
      <c r="C1" s="35" t="s">
        <v>297</v>
      </c>
      <c r="D1" s="35" t="s">
        <v>1508</v>
      </c>
      <c r="E1" s="35" t="s">
        <v>1509</v>
      </c>
      <c r="F1" s="36" t="s">
        <v>1751</v>
      </c>
      <c r="G1" s="146" t="s">
        <v>1750</v>
      </c>
    </row>
    <row r="2" spans="1:7">
      <c r="A2" s="33" t="s">
        <v>1511</v>
      </c>
      <c r="B2" s="33" t="s">
        <v>1511</v>
      </c>
      <c r="C2" s="33" t="s">
        <v>1512</v>
      </c>
      <c r="D2" s="33" t="s">
        <v>1511</v>
      </c>
      <c r="E2" s="33" t="s">
        <v>1511</v>
      </c>
      <c r="F2" s="34">
        <v>2.6852157358277779E-6</v>
      </c>
      <c r="G2" s="38">
        <f>F2*'Parameters (Generic)'!$B$3</f>
        <v>0.15962533463201808</v>
      </c>
    </row>
    <row r="3" spans="1:7">
      <c r="A3" s="5" t="s">
        <v>320</v>
      </c>
      <c r="B3" s="33" t="s">
        <v>321</v>
      </c>
      <c r="C3" s="5" t="s">
        <v>36</v>
      </c>
      <c r="D3" s="5" t="s">
        <v>115</v>
      </c>
      <c r="E3" s="5" t="s">
        <v>322</v>
      </c>
      <c r="F3" s="31">
        <v>1.7720257431091075E-5</v>
      </c>
      <c r="G3" s="38">
        <f>F3*'Parameters (Generic)'!$B$3</f>
        <v>1.05339842324864</v>
      </c>
    </row>
    <row r="4" spans="1:7">
      <c r="A4" s="5" t="s">
        <v>323</v>
      </c>
      <c r="B4" s="33" t="s">
        <v>324</v>
      </c>
      <c r="C4" s="5" t="s">
        <v>36</v>
      </c>
      <c r="D4" s="5" t="s">
        <v>117</v>
      </c>
      <c r="E4" s="5" t="s">
        <v>325</v>
      </c>
      <c r="F4" s="31">
        <v>7.8907592946989596E-6</v>
      </c>
      <c r="G4" s="38">
        <f>F4*'Parameters (Generic)'!$B$3</f>
        <v>0.46907407703267434</v>
      </c>
    </row>
    <row r="5" spans="1:7">
      <c r="A5" s="5" t="s">
        <v>1513</v>
      </c>
      <c r="B5" s="33" t="s">
        <v>1513</v>
      </c>
      <c r="C5" s="33" t="s">
        <v>1512</v>
      </c>
      <c r="D5" s="5" t="s">
        <v>1513</v>
      </c>
      <c r="E5" s="5" t="s">
        <v>1513</v>
      </c>
      <c r="F5" s="31">
        <v>9.1160869395250461E-6</v>
      </c>
      <c r="G5" s="38">
        <f>F5*'Parameters (Generic)'!$B$3</f>
        <v>0.54191490420700594</v>
      </c>
    </row>
    <row r="6" spans="1:7">
      <c r="A6" s="5" t="s">
        <v>330</v>
      </c>
      <c r="B6" s="33" t="s">
        <v>331</v>
      </c>
      <c r="C6" s="5" t="s">
        <v>36</v>
      </c>
      <c r="D6" s="5" t="s">
        <v>116</v>
      </c>
      <c r="E6" s="5" t="s">
        <v>322</v>
      </c>
      <c r="F6" s="31">
        <v>4.0825509440719274E-5</v>
      </c>
      <c r="G6" s="38">
        <f>F6*'Parameters (Generic)'!$B$3</f>
        <v>2.4269132342129978</v>
      </c>
    </row>
    <row r="7" spans="1:7">
      <c r="A7" s="5" t="s">
        <v>332</v>
      </c>
      <c r="B7" s="33" t="s">
        <v>333</v>
      </c>
      <c r="C7" s="5" t="s">
        <v>36</v>
      </c>
      <c r="D7" s="5" t="s">
        <v>115</v>
      </c>
      <c r="E7" s="5" t="s">
        <v>322</v>
      </c>
      <c r="F7" s="31">
        <v>3.8318481099748149E-6</v>
      </c>
      <c r="G7" s="38">
        <f>F7*'Parameters (Generic)'!$B$3</f>
        <v>0.22778804274556286</v>
      </c>
    </row>
    <row r="8" spans="1:7">
      <c r="A8" s="5" t="s">
        <v>1514</v>
      </c>
      <c r="B8" s="33" t="s">
        <v>1514</v>
      </c>
      <c r="C8" s="5" t="s">
        <v>1512</v>
      </c>
      <c r="D8" s="5" t="s">
        <v>1514</v>
      </c>
      <c r="E8" s="5" t="s">
        <v>1514</v>
      </c>
      <c r="F8" s="31">
        <v>9.414621462858183E-6</v>
      </c>
      <c r="G8" s="38">
        <f>F8*'Parameters (Generic)'!$B$3</f>
        <v>0.55966158748106754</v>
      </c>
    </row>
    <row r="9" spans="1:7">
      <c r="A9" s="5" t="s">
        <v>334</v>
      </c>
      <c r="B9" s="33" t="s">
        <v>335</v>
      </c>
      <c r="C9" s="5" t="s">
        <v>36</v>
      </c>
      <c r="D9" s="5" t="s">
        <v>114</v>
      </c>
      <c r="E9" s="5" t="s">
        <v>121</v>
      </c>
      <c r="F9" s="31">
        <v>2.6738409066449182E-5</v>
      </c>
      <c r="G9" s="38">
        <f>F9*'Parameters (Generic)'!$B$3</f>
        <v>1.5894914653641381</v>
      </c>
    </row>
    <row r="10" spans="1:7">
      <c r="A10" s="5" t="s">
        <v>336</v>
      </c>
      <c r="B10" s="33" t="s">
        <v>337</v>
      </c>
      <c r="C10" s="5" t="s">
        <v>36</v>
      </c>
      <c r="D10" s="5" t="s">
        <v>115</v>
      </c>
      <c r="E10" s="5" t="s">
        <v>121</v>
      </c>
      <c r="F10" s="31">
        <v>3.6170727427489068E-5</v>
      </c>
      <c r="G10" s="38">
        <f>F10*'Parameters (Generic)'!$B$3</f>
        <v>2.1502050626545151</v>
      </c>
    </row>
    <row r="11" spans="1:7">
      <c r="A11" s="5" t="s">
        <v>338</v>
      </c>
      <c r="B11" s="33" t="s">
        <v>339</v>
      </c>
      <c r="C11" s="5" t="s">
        <v>36</v>
      </c>
      <c r="D11" s="5" t="s">
        <v>115</v>
      </c>
      <c r="E11" s="5" t="s">
        <v>322</v>
      </c>
      <c r="F11" s="31">
        <v>1.7654017475623117E-6</v>
      </c>
      <c r="G11" s="38">
        <f>F11*'Parameters (Generic)'!$B$3</f>
        <v>0.10494607228558918</v>
      </c>
    </row>
    <row r="12" spans="1:7">
      <c r="A12" s="5" t="s">
        <v>690</v>
      </c>
      <c r="B12" s="33" t="s">
        <v>691</v>
      </c>
      <c r="C12" s="5" t="s">
        <v>36</v>
      </c>
      <c r="D12" s="5" t="s">
        <v>117</v>
      </c>
      <c r="E12" s="5" t="s">
        <v>121</v>
      </c>
      <c r="F12" s="31">
        <v>6.9829492771949078E-6</v>
      </c>
      <c r="G12" s="38">
        <f>F12*'Parameters (Generic)'!$B$3</f>
        <v>0.41510840273212851</v>
      </c>
    </row>
    <row r="13" spans="1:7">
      <c r="A13" s="5" t="s">
        <v>342</v>
      </c>
      <c r="B13" s="33" t="s">
        <v>343</v>
      </c>
      <c r="C13" s="5" t="s">
        <v>36</v>
      </c>
      <c r="D13" s="5" t="s">
        <v>118</v>
      </c>
      <c r="E13" s="5" t="s">
        <v>325</v>
      </c>
      <c r="F13" s="31">
        <v>5.9099721297522857E-6</v>
      </c>
      <c r="G13" s="38">
        <f>F13*'Parameters (Generic)'!$B$3</f>
        <v>0.35132420322525437</v>
      </c>
    </row>
    <row r="14" spans="1:7">
      <c r="A14" s="5" t="s">
        <v>344</v>
      </c>
      <c r="B14" s="33" t="s">
        <v>345</v>
      </c>
      <c r="C14" s="5" t="s">
        <v>36</v>
      </c>
      <c r="D14" s="5" t="s">
        <v>116</v>
      </c>
      <c r="E14" s="5" t="s">
        <v>121</v>
      </c>
      <c r="F14" s="31">
        <v>3.406877764426282E-5</v>
      </c>
      <c r="G14" s="38">
        <f>F14*'Parameters (Generic)'!$B$3</f>
        <v>2.0252525558408476</v>
      </c>
    </row>
    <row r="15" spans="1:7">
      <c r="A15" s="5" t="s">
        <v>346</v>
      </c>
      <c r="B15" s="33" t="s">
        <v>347</v>
      </c>
      <c r="C15" s="5" t="s">
        <v>36</v>
      </c>
      <c r="D15" s="5" t="s">
        <v>115</v>
      </c>
      <c r="E15" s="5" t="s">
        <v>322</v>
      </c>
      <c r="F15" s="31">
        <v>6.7677606855877276E-6</v>
      </c>
      <c r="G15" s="38">
        <f>F15*'Parameters (Generic)'!$B$3</f>
        <v>0.40231630171544808</v>
      </c>
    </row>
    <row r="16" spans="1:7">
      <c r="A16" s="5" t="s">
        <v>348</v>
      </c>
      <c r="B16" s="33" t="s">
        <v>349</v>
      </c>
      <c r="C16" s="5" t="s">
        <v>36</v>
      </c>
      <c r="D16" s="5" t="s">
        <v>115</v>
      </c>
      <c r="E16" s="5" t="s">
        <v>121</v>
      </c>
      <c r="F16" s="31">
        <v>3.061308797531084E-5</v>
      </c>
      <c r="G16" s="38">
        <f>F16*'Parameters (Generic)'!$B$3</f>
        <v>1.8198256277803282</v>
      </c>
    </row>
    <row r="17" spans="1:7">
      <c r="A17" s="5" t="s">
        <v>350</v>
      </c>
      <c r="B17" s="33" t="s">
        <v>351</v>
      </c>
      <c r="C17" s="5" t="s">
        <v>36</v>
      </c>
      <c r="D17" s="5" t="s">
        <v>116</v>
      </c>
      <c r="E17" s="5" t="s">
        <v>322</v>
      </c>
      <c r="F17" s="31">
        <v>1.744636276116676E-5</v>
      </c>
      <c r="G17" s="38">
        <f>F17*'Parameters (Generic)'!$B$3</f>
        <v>1.0371164807003193</v>
      </c>
    </row>
    <row r="18" spans="1:7">
      <c r="A18" s="5" t="s">
        <v>352</v>
      </c>
      <c r="B18" s="33" t="s">
        <v>353</v>
      </c>
      <c r="C18" s="5" t="s">
        <v>36</v>
      </c>
      <c r="D18" s="5" t="s">
        <v>119</v>
      </c>
      <c r="E18" s="5" t="s">
        <v>325</v>
      </c>
      <c r="F18" s="31">
        <v>1.5296844325932964E-6</v>
      </c>
      <c r="G18" s="38">
        <f>F18*'Parameters (Generic)'!$B$3</f>
        <v>9.0933620779941104E-2</v>
      </c>
    </row>
    <row r="19" spans="1:7">
      <c r="A19" s="5" t="s">
        <v>354</v>
      </c>
      <c r="B19" s="33" t="s">
        <v>355</v>
      </c>
      <c r="C19" s="5" t="s">
        <v>36</v>
      </c>
      <c r="D19" s="5" t="s">
        <v>118</v>
      </c>
      <c r="E19" s="5" t="s">
        <v>325</v>
      </c>
      <c r="F19" s="31">
        <v>6.134313388923845E-6</v>
      </c>
      <c r="G19" s="38">
        <f>F19*'Parameters (Generic)'!$B$3</f>
        <v>0.36466039371796688</v>
      </c>
    </row>
    <row r="20" spans="1:7">
      <c r="A20" s="5" t="s">
        <v>356</v>
      </c>
      <c r="B20" s="33" t="s">
        <v>357</v>
      </c>
      <c r="C20" s="5" t="s">
        <v>36</v>
      </c>
      <c r="D20" s="5" t="s">
        <v>116</v>
      </c>
      <c r="E20" s="5" t="s">
        <v>325</v>
      </c>
      <c r="F20" s="31">
        <v>7.3043424667164893E-6</v>
      </c>
      <c r="G20" s="38">
        <f>F20*'Parameters (Generic)'!$B$3</f>
        <v>0.4342139422764284</v>
      </c>
    </row>
    <row r="21" spans="1:7">
      <c r="A21" s="5" t="s">
        <v>360</v>
      </c>
      <c r="B21" s="33" t="s">
        <v>361</v>
      </c>
      <c r="C21" s="5" t="s">
        <v>36</v>
      </c>
      <c r="D21" s="5" t="s">
        <v>119</v>
      </c>
      <c r="E21" s="5" t="s">
        <v>322</v>
      </c>
      <c r="F21" s="31">
        <v>5.3605878344459727E-6</v>
      </c>
      <c r="G21" s="38">
        <f>F21*'Parameters (Generic)'!$B$3</f>
        <v>0.31866550440647529</v>
      </c>
    </row>
    <row r="22" spans="1:7">
      <c r="A22" s="5" t="s">
        <v>362</v>
      </c>
      <c r="B22" s="33" t="s">
        <v>363</v>
      </c>
      <c r="C22" s="5" t="s">
        <v>36</v>
      </c>
      <c r="D22" s="5" t="s">
        <v>116</v>
      </c>
      <c r="E22" s="5" t="s">
        <v>322</v>
      </c>
      <c r="F22" s="31">
        <v>1.3289588099686689E-5</v>
      </c>
      <c r="G22" s="38">
        <f>F22*'Parameters (Generic)'!$B$3</f>
        <v>0.79001285417397493</v>
      </c>
    </row>
    <row r="23" spans="1:7">
      <c r="A23" s="5" t="s">
        <v>364</v>
      </c>
      <c r="B23" s="33" t="s">
        <v>365</v>
      </c>
      <c r="C23" s="5" t="s">
        <v>36</v>
      </c>
      <c r="D23" s="5" t="s">
        <v>114</v>
      </c>
      <c r="E23" s="5" t="s">
        <v>121</v>
      </c>
      <c r="F23" s="31">
        <v>2.9581118808048511E-6</v>
      </c>
      <c r="G23" s="38">
        <f>F23*'Parameters (Generic)'!$B$3</f>
        <v>0.17584791886632517</v>
      </c>
    </row>
    <row r="24" spans="1:7">
      <c r="A24" s="5" t="s">
        <v>366</v>
      </c>
      <c r="B24" s="33" t="s">
        <v>367</v>
      </c>
      <c r="C24" s="5" t="s">
        <v>36</v>
      </c>
      <c r="D24" s="5" t="s">
        <v>115</v>
      </c>
      <c r="E24" s="5" t="s">
        <v>322</v>
      </c>
      <c r="F24" s="31">
        <v>7.4847677035454394E-6</v>
      </c>
      <c r="G24" s="38">
        <f>F24*'Parameters (Generic)'!$B$3</f>
        <v>0.4449395009049622</v>
      </c>
    </row>
    <row r="25" spans="1:7">
      <c r="A25" s="5" t="s">
        <v>368</v>
      </c>
      <c r="B25" s="33" t="s">
        <v>369</v>
      </c>
      <c r="C25" s="5" t="s">
        <v>36</v>
      </c>
      <c r="D25" s="5" t="s">
        <v>119</v>
      </c>
      <c r="E25" s="5" t="s">
        <v>319</v>
      </c>
      <c r="F25" s="31">
        <v>9.1551273619123007E-7</v>
      </c>
      <c r="G25" s="38">
        <f>F25*'Parameters (Generic)'!$B$3</f>
        <v>5.4423570115623862E-2</v>
      </c>
    </row>
    <row r="26" spans="1:7">
      <c r="A26" s="5" t="s">
        <v>370</v>
      </c>
      <c r="B26" s="33" t="s">
        <v>371</v>
      </c>
      <c r="C26" s="5" t="s">
        <v>36</v>
      </c>
      <c r="D26" s="5" t="s">
        <v>119</v>
      </c>
      <c r="E26" s="5" t="s">
        <v>319</v>
      </c>
      <c r="F26" s="31">
        <v>1.2139153781518967E-6</v>
      </c>
      <c r="G26" s="38">
        <f>F26*'Parameters (Generic)'!$B$3</f>
        <v>7.2162413569617653E-2</v>
      </c>
    </row>
    <row r="27" spans="1:7">
      <c r="A27" s="5" t="s">
        <v>374</v>
      </c>
      <c r="B27" s="33" t="s">
        <v>375</v>
      </c>
      <c r="C27" s="5" t="s">
        <v>36</v>
      </c>
      <c r="D27" s="5" t="s">
        <v>114</v>
      </c>
      <c r="E27" s="5" t="s">
        <v>325</v>
      </c>
      <c r="F27" s="31">
        <v>9.5315526356145831E-6</v>
      </c>
      <c r="G27" s="38">
        <f>F27*'Parameters (Generic)'!$B$3</f>
        <v>0.56661267797674453</v>
      </c>
    </row>
    <row r="28" spans="1:7">
      <c r="A28" s="5" t="s">
        <v>376</v>
      </c>
      <c r="B28" s="33" t="s">
        <v>377</v>
      </c>
      <c r="C28" s="5" t="s">
        <v>36</v>
      </c>
      <c r="D28" s="5" t="s">
        <v>119</v>
      </c>
      <c r="E28" s="5" t="s">
        <v>325</v>
      </c>
      <c r="F28" s="31">
        <v>5.1229945685507678E-7</v>
      </c>
      <c r="G28" s="38">
        <f>F28*'Parameters (Generic)'!$B$3</f>
        <v>3.0454153512206896E-2</v>
      </c>
    </row>
    <row r="29" spans="1:7">
      <c r="A29" s="5" t="s">
        <v>378</v>
      </c>
      <c r="B29" s="33" t="s">
        <v>379</v>
      </c>
      <c r="C29" s="5" t="s">
        <v>36</v>
      </c>
      <c r="D29" s="5" t="s">
        <v>120</v>
      </c>
      <c r="E29" s="5" t="s">
        <v>121</v>
      </c>
      <c r="F29" s="31">
        <v>3.4246886710945321E-5</v>
      </c>
      <c r="G29" s="38">
        <f>F29*'Parameters (Generic)'!$B$3</f>
        <v>2.0358404274188557</v>
      </c>
    </row>
    <row r="30" spans="1:7">
      <c r="A30" s="5" t="s">
        <v>380</v>
      </c>
      <c r="B30" s="33" t="s">
        <v>381</v>
      </c>
      <c r="C30" s="5" t="s">
        <v>36</v>
      </c>
      <c r="D30" s="5" t="s">
        <v>119</v>
      </c>
      <c r="E30" s="5" t="s">
        <v>319</v>
      </c>
      <c r="F30" s="31">
        <v>0</v>
      </c>
      <c r="G30" s="38">
        <f>F30*'Parameters (Generic)'!$B$3</f>
        <v>0</v>
      </c>
    </row>
    <row r="31" spans="1:7">
      <c r="A31" s="5" t="s">
        <v>382</v>
      </c>
      <c r="B31" s="33" t="s">
        <v>383</v>
      </c>
      <c r="C31" s="5" t="s">
        <v>36</v>
      </c>
      <c r="D31" s="5" t="s">
        <v>119</v>
      </c>
      <c r="E31" s="5" t="s">
        <v>319</v>
      </c>
      <c r="F31" s="31">
        <v>0</v>
      </c>
      <c r="G31" s="38">
        <f>F31*'Parameters (Generic)'!$B$3</f>
        <v>0</v>
      </c>
    </row>
    <row r="32" spans="1:7">
      <c r="A32" s="5" t="s">
        <v>384</v>
      </c>
      <c r="B32" s="33" t="s">
        <v>385</v>
      </c>
      <c r="C32" s="5" t="s">
        <v>36</v>
      </c>
      <c r="D32" s="5" t="s">
        <v>116</v>
      </c>
      <c r="E32" s="5" t="s">
        <v>121</v>
      </c>
      <c r="F32" s="31">
        <v>2.2807505447066702E-5</v>
      </c>
      <c r="G32" s="38">
        <f>F32*'Parameters (Generic)'!$B$3</f>
        <v>1.3558149688063272</v>
      </c>
    </row>
    <row r="33" spans="1:7">
      <c r="A33" s="5" t="s">
        <v>386</v>
      </c>
      <c r="B33" s="33" t="s">
        <v>387</v>
      </c>
      <c r="C33" s="5" t="s">
        <v>36</v>
      </c>
      <c r="D33" s="5" t="s">
        <v>114</v>
      </c>
      <c r="E33" s="5" t="s">
        <v>322</v>
      </c>
      <c r="F33" s="31">
        <v>3.6011764488482201E-6</v>
      </c>
      <c r="G33" s="38">
        <f>F33*'Parameters (Generic)'!$B$3</f>
        <v>0.2140755351782313</v>
      </c>
    </row>
    <row r="34" spans="1:7">
      <c r="A34" s="5" t="s">
        <v>388</v>
      </c>
      <c r="B34" s="33" t="s">
        <v>389</v>
      </c>
      <c r="C34" s="5" t="s">
        <v>36</v>
      </c>
      <c r="D34" s="5" t="s">
        <v>116</v>
      </c>
      <c r="E34" s="5" t="s">
        <v>322</v>
      </c>
      <c r="F34" s="31">
        <v>1.7777353442396169E-5</v>
      </c>
      <c r="G34" s="38">
        <f>F34*'Parameters (Generic)'!$B$3</f>
        <v>1.0567925527366826</v>
      </c>
    </row>
    <row r="35" spans="1:7">
      <c r="A35" s="5" t="s">
        <v>390</v>
      </c>
      <c r="B35" s="33" t="s">
        <v>391</v>
      </c>
      <c r="C35" s="5" t="s">
        <v>36</v>
      </c>
      <c r="D35" s="5" t="s">
        <v>119</v>
      </c>
      <c r="E35" s="5" t="s">
        <v>325</v>
      </c>
      <c r="F35" s="31">
        <v>2.3406531929035283E-6</v>
      </c>
      <c r="G35" s="38">
        <f>F35*'Parameters (Generic)'!$B$3</f>
        <v>0.13914246970534314</v>
      </c>
    </row>
    <row r="36" spans="1:7">
      <c r="A36" s="5" t="s">
        <v>392</v>
      </c>
      <c r="B36" s="33" t="s">
        <v>393</v>
      </c>
      <c r="C36" s="5" t="s">
        <v>36</v>
      </c>
      <c r="D36" s="5" t="s">
        <v>119</v>
      </c>
      <c r="E36" s="5" t="s">
        <v>319</v>
      </c>
      <c r="F36" s="31">
        <v>3.3913858597621745E-6</v>
      </c>
      <c r="G36" s="38">
        <f>F36*'Parameters (Generic)'!$B$3</f>
        <v>0.20160432381942223</v>
      </c>
    </row>
    <row r="37" spans="1:7">
      <c r="A37" s="5" t="s">
        <v>394</v>
      </c>
      <c r="B37" s="33" t="s">
        <v>395</v>
      </c>
      <c r="C37" s="5" t="s">
        <v>36</v>
      </c>
      <c r="D37" s="5" t="s">
        <v>119</v>
      </c>
      <c r="E37" s="5" t="s">
        <v>325</v>
      </c>
      <c r="F37" s="31">
        <v>1.1297101926611195E-6</v>
      </c>
      <c r="G37" s="38">
        <f>F37*'Parameters (Generic)'!$B$3</f>
        <v>6.7156752112932913E-2</v>
      </c>
    </row>
    <row r="38" spans="1:7">
      <c r="A38" s="5" t="s">
        <v>396</v>
      </c>
      <c r="B38" s="33" t="s">
        <v>397</v>
      </c>
      <c r="C38" s="5" t="s">
        <v>36</v>
      </c>
      <c r="D38" s="5" t="s">
        <v>116</v>
      </c>
      <c r="E38" s="5" t="s">
        <v>322</v>
      </c>
      <c r="F38" s="31">
        <v>3.2557607647949665E-5</v>
      </c>
      <c r="G38" s="38">
        <f>F38*'Parameters (Generic)'!$B$3</f>
        <v>1.9354195442400157</v>
      </c>
    </row>
    <row r="39" spans="1:7">
      <c r="A39" s="5" t="s">
        <v>398</v>
      </c>
      <c r="B39" s="33" t="s">
        <v>399</v>
      </c>
      <c r="C39" s="5" t="s">
        <v>36</v>
      </c>
      <c r="D39" s="5" t="s">
        <v>119</v>
      </c>
      <c r="E39" s="5" t="s">
        <v>325</v>
      </c>
      <c r="F39" s="31">
        <v>3.7792536073891625E-8</v>
      </c>
      <c r="G39" s="38">
        <f>F39*'Parameters (Generic)'!$B$3</f>
        <v>2.2466150994485613E-3</v>
      </c>
    </row>
    <row r="40" spans="1:7">
      <c r="A40" s="5" t="s">
        <v>74</v>
      </c>
      <c r="B40" s="33" t="s">
        <v>75</v>
      </c>
      <c r="C40" s="5" t="s">
        <v>36</v>
      </c>
      <c r="D40" s="5" t="s">
        <v>115</v>
      </c>
      <c r="E40" s="5" t="s">
        <v>121</v>
      </c>
      <c r="F40" s="31">
        <v>2.5725394988753543E-5</v>
      </c>
      <c r="G40" s="38">
        <f>F40*'Parameters (Generic)'!$B$3</f>
        <v>1.529271830501443</v>
      </c>
    </row>
    <row r="41" spans="1:7">
      <c r="A41" s="5" t="s">
        <v>402</v>
      </c>
      <c r="B41" s="33" t="s">
        <v>403</v>
      </c>
      <c r="C41" s="5" t="s">
        <v>36</v>
      </c>
      <c r="D41" s="5" t="s">
        <v>115</v>
      </c>
      <c r="E41" s="5" t="s">
        <v>121</v>
      </c>
      <c r="F41" s="31">
        <v>2.3279722792096528E-5</v>
      </c>
      <c r="G41" s="38">
        <f>F41*'Parameters (Generic)'!$B$3</f>
        <v>1.3838864010989702</v>
      </c>
    </row>
    <row r="42" spans="1:7">
      <c r="A42" s="5" t="s">
        <v>404</v>
      </c>
      <c r="B42" s="33" t="s">
        <v>405</v>
      </c>
      <c r="C42" s="5" t="s">
        <v>36</v>
      </c>
      <c r="D42" s="5" t="s">
        <v>115</v>
      </c>
      <c r="E42" s="5" t="s">
        <v>121</v>
      </c>
      <c r="F42" s="31">
        <v>1.648746812020126E-5</v>
      </c>
      <c r="G42" s="38">
        <f>F42*'Parameters (Generic)'!$B$3</f>
        <v>0.98011402987348406</v>
      </c>
    </row>
    <row r="43" spans="1:7">
      <c r="A43" s="5" t="s">
        <v>406</v>
      </c>
      <c r="B43" s="33" t="s">
        <v>407</v>
      </c>
      <c r="C43" s="5" t="s">
        <v>36</v>
      </c>
      <c r="D43" s="5" t="s">
        <v>115</v>
      </c>
      <c r="E43" s="5" t="s">
        <v>121</v>
      </c>
      <c r="F43" s="31">
        <v>2.5705219510629717E-5</v>
      </c>
      <c r="G43" s="38">
        <f>F43*'Parameters (Generic)'!$B$3</f>
        <v>1.5280724790288942</v>
      </c>
    </row>
    <row r="44" spans="1:7">
      <c r="A44" s="5" t="s">
        <v>412</v>
      </c>
      <c r="B44" s="33" t="s">
        <v>413</v>
      </c>
      <c r="C44" s="5" t="s">
        <v>36</v>
      </c>
      <c r="D44" s="5" t="s">
        <v>116</v>
      </c>
      <c r="E44" s="5" t="s">
        <v>322</v>
      </c>
      <c r="F44" s="31">
        <v>1.3412841908581214E-5</v>
      </c>
      <c r="G44" s="38">
        <f>F44*'Parameters (Generic)'!$B$3</f>
        <v>0.79733980009751881</v>
      </c>
    </row>
    <row r="45" spans="1:7">
      <c r="A45" s="5" t="s">
        <v>414</v>
      </c>
      <c r="B45" s="33" t="s">
        <v>415</v>
      </c>
      <c r="C45" s="5" t="s">
        <v>36</v>
      </c>
      <c r="D45" s="5" t="s">
        <v>116</v>
      </c>
      <c r="E45" s="5" t="s">
        <v>322</v>
      </c>
      <c r="F45" s="31">
        <v>5.1001434415468428E-6</v>
      </c>
      <c r="G45" s="38">
        <f>F45*'Parameters (Generic)'!$B$3</f>
        <v>0.3031831270261936</v>
      </c>
    </row>
    <row r="46" spans="1:7">
      <c r="A46" s="5" t="s">
        <v>416</v>
      </c>
      <c r="B46" s="33" t="s">
        <v>417</v>
      </c>
      <c r="C46" s="5" t="s">
        <v>36</v>
      </c>
      <c r="D46" s="5" t="s">
        <v>117</v>
      </c>
      <c r="E46" s="5" t="s">
        <v>325</v>
      </c>
      <c r="F46" s="31">
        <v>6.2958460975548436E-6</v>
      </c>
      <c r="G46" s="38">
        <f>F46*'Parameters (Generic)'!$B$3</f>
        <v>0.37426286711524526</v>
      </c>
    </row>
    <row r="47" spans="1:7">
      <c r="A47" s="5" t="s">
        <v>418</v>
      </c>
      <c r="B47" s="33" t="s">
        <v>419</v>
      </c>
      <c r="C47" s="5" t="s">
        <v>36</v>
      </c>
      <c r="D47" s="5" t="s">
        <v>116</v>
      </c>
      <c r="E47" s="5" t="s">
        <v>322</v>
      </c>
      <c r="F47" s="31">
        <v>2.2678557822100074E-5</v>
      </c>
      <c r="G47" s="38">
        <f>F47*'Parameters (Generic)'!$B$3</f>
        <v>1.348149548292561</v>
      </c>
    </row>
    <row r="48" spans="1:7">
      <c r="A48" s="5" t="s">
        <v>696</v>
      </c>
      <c r="B48" s="33" t="s">
        <v>697</v>
      </c>
      <c r="C48" s="5" t="s">
        <v>36</v>
      </c>
      <c r="D48" s="5" t="s">
        <v>119</v>
      </c>
      <c r="E48" s="5" t="s">
        <v>319</v>
      </c>
      <c r="F48" s="31">
        <v>3.9517819011374516E-7</v>
      </c>
      <c r="G48" s="38">
        <f>F48*'Parameters (Generic)'!$B$3</f>
        <v>2.3491762689501695E-2</v>
      </c>
    </row>
    <row r="49" spans="1:7">
      <c r="A49" s="5" t="s">
        <v>422</v>
      </c>
      <c r="B49" s="33" t="s">
        <v>423</v>
      </c>
      <c r="C49" s="5" t="s">
        <v>36</v>
      </c>
      <c r="D49" s="5" t="s">
        <v>115</v>
      </c>
      <c r="E49" s="5" t="s">
        <v>121</v>
      </c>
      <c r="F49" s="31">
        <v>1.4319999811244732E-5</v>
      </c>
      <c r="G49" s="38">
        <f>F49*'Parameters (Generic)'!$B$3</f>
        <v>0.85126670877925437</v>
      </c>
    </row>
    <row r="50" spans="1:7">
      <c r="A50" s="5" t="s">
        <v>768</v>
      </c>
      <c r="B50" s="33" t="s">
        <v>627</v>
      </c>
      <c r="C50" s="5" t="s">
        <v>36</v>
      </c>
      <c r="D50" s="5" t="s">
        <v>119</v>
      </c>
      <c r="E50" s="5" t="s">
        <v>325</v>
      </c>
      <c r="F50" s="31">
        <v>1.0352129039269788E-6</v>
      </c>
      <c r="G50" s="38">
        <f>F50*'Parameters (Generic)'!$B$3</f>
        <v>6.1539266286843183E-2</v>
      </c>
    </row>
    <row r="51" spans="1:7">
      <c r="A51" s="5" t="s">
        <v>1515</v>
      </c>
      <c r="B51" s="33" t="s">
        <v>1515</v>
      </c>
      <c r="C51" s="33" t="s">
        <v>1512</v>
      </c>
      <c r="D51" s="5" t="s">
        <v>1515</v>
      </c>
      <c r="E51" s="5" t="s">
        <v>1515</v>
      </c>
      <c r="F51" s="31">
        <v>2.2965635341311582E-5</v>
      </c>
      <c r="G51" s="38">
        <f>F51*'Parameters (Generic)'!$B$3</f>
        <v>1.3652151584996084</v>
      </c>
    </row>
    <row r="52" spans="1:7">
      <c r="A52" s="5" t="s">
        <v>428</v>
      </c>
      <c r="B52" s="33" t="s">
        <v>429</v>
      </c>
      <c r="C52" s="5" t="s">
        <v>36</v>
      </c>
      <c r="D52" s="5" t="s">
        <v>115</v>
      </c>
      <c r="E52" s="5" t="s">
        <v>121</v>
      </c>
      <c r="F52" s="31">
        <v>2.913714901779972E-5</v>
      </c>
      <c r="G52" s="38">
        <f>F52*'Parameters (Generic)'!$B$3</f>
        <v>1.7320869605121221</v>
      </c>
    </row>
    <row r="53" spans="1:7">
      <c r="A53" s="5" t="s">
        <v>55</v>
      </c>
      <c r="B53" s="33" t="s">
        <v>56</v>
      </c>
      <c r="C53" s="5" t="s">
        <v>36</v>
      </c>
      <c r="D53" s="5" t="s">
        <v>115</v>
      </c>
      <c r="E53" s="5" t="s">
        <v>121</v>
      </c>
      <c r="F53" s="31">
        <v>4.647694073190193E-5</v>
      </c>
      <c r="G53" s="38">
        <f>F53*'Parameters (Generic)'!$B$3</f>
        <v>2.762868218748642</v>
      </c>
    </row>
    <row r="54" spans="1:7">
      <c r="A54" s="5" t="s">
        <v>430</v>
      </c>
      <c r="B54" s="33" t="s">
        <v>431</v>
      </c>
      <c r="C54" s="5" t="s">
        <v>36</v>
      </c>
      <c r="D54" s="5" t="s">
        <v>119</v>
      </c>
      <c r="E54" s="5" t="s">
        <v>322</v>
      </c>
      <c r="F54" s="31">
        <v>2.8297077132090631E-6</v>
      </c>
      <c r="G54" s="38">
        <f>F54*'Parameters (Generic)'!$B$3</f>
        <v>0.16821480471942596</v>
      </c>
    </row>
    <row r="55" spans="1:7">
      <c r="A55" s="5" t="s">
        <v>432</v>
      </c>
      <c r="B55" s="33" t="s">
        <v>433</v>
      </c>
      <c r="C55" s="5" t="s">
        <v>36</v>
      </c>
      <c r="D55" s="5" t="s">
        <v>119</v>
      </c>
      <c r="E55" s="5" t="s">
        <v>319</v>
      </c>
      <c r="F55" s="31">
        <v>1.3860297665657398E-6</v>
      </c>
      <c r="G55" s="38">
        <f>F55*'Parameters (Generic)'!$B$3</f>
        <v>8.2393925503266963E-2</v>
      </c>
    </row>
    <row r="56" spans="1:7">
      <c r="A56" s="5" t="s">
        <v>434</v>
      </c>
      <c r="B56" s="33" t="s">
        <v>435</v>
      </c>
      <c r="C56" s="5" t="s">
        <v>36</v>
      </c>
      <c r="D56" s="5" t="s">
        <v>115</v>
      </c>
      <c r="E56" s="5" t="s">
        <v>322</v>
      </c>
      <c r="F56" s="31">
        <v>3.4648657558926038E-6</v>
      </c>
      <c r="G56" s="38">
        <f>F56*'Parameters (Generic)'!$B$3</f>
        <v>0.20597240972479172</v>
      </c>
    </row>
    <row r="57" spans="1:7">
      <c r="A57" s="5" t="s">
        <v>436</v>
      </c>
      <c r="B57" s="33" t="s">
        <v>437</v>
      </c>
      <c r="C57" s="5" t="s">
        <v>36</v>
      </c>
      <c r="D57" s="5" t="s">
        <v>115</v>
      </c>
      <c r="E57" s="5" t="s">
        <v>121</v>
      </c>
      <c r="F57" s="31">
        <v>4.3350278210882951E-5</v>
      </c>
      <c r="G57" s="38">
        <f>F57*'Parameters (Generic)'!$B$3</f>
        <v>2.5770006385241477</v>
      </c>
    </row>
    <row r="58" spans="1:7">
      <c r="A58" s="5" t="s">
        <v>438</v>
      </c>
      <c r="B58" s="33" t="s">
        <v>439</v>
      </c>
      <c r="C58" s="5" t="s">
        <v>36</v>
      </c>
      <c r="D58" s="5" t="s">
        <v>119</v>
      </c>
      <c r="E58" s="5" t="s">
        <v>325</v>
      </c>
      <c r="F58" s="31">
        <v>1.9048337502657627E-6</v>
      </c>
      <c r="G58" s="38">
        <f>F58*'Parameters (Generic)'!$B$3</f>
        <v>0.11323474711829853</v>
      </c>
    </row>
    <row r="59" spans="1:7">
      <c r="A59" s="5" t="s">
        <v>440</v>
      </c>
      <c r="B59" s="33" t="s">
        <v>441</v>
      </c>
      <c r="C59" s="5" t="s">
        <v>36</v>
      </c>
      <c r="D59" s="5" t="s">
        <v>115</v>
      </c>
      <c r="E59" s="5" t="s">
        <v>121</v>
      </c>
      <c r="F59" s="31">
        <v>5.3920842848981505E-5</v>
      </c>
      <c r="G59" s="38">
        <f>F59*'Parameters (Generic)'!$B$3</f>
        <v>3.2053784240005547</v>
      </c>
    </row>
    <row r="60" spans="1:7">
      <c r="A60" s="5" t="s">
        <v>444</v>
      </c>
      <c r="B60" s="33" t="s">
        <v>445</v>
      </c>
      <c r="C60" s="5" t="s">
        <v>36</v>
      </c>
      <c r="D60" s="5" t="s">
        <v>116</v>
      </c>
      <c r="E60" s="5" t="s">
        <v>322</v>
      </c>
      <c r="F60" s="31">
        <v>1.5402450095628505E-5</v>
      </c>
      <c r="G60" s="38">
        <f>F60*'Parameters (Generic)'!$B$3</f>
        <v>0.91561404838473215</v>
      </c>
    </row>
    <row r="61" spans="1:7">
      <c r="A61" s="5" t="s">
        <v>446</v>
      </c>
      <c r="B61" s="33" t="s">
        <v>447</v>
      </c>
      <c r="C61" s="5" t="s">
        <v>36</v>
      </c>
      <c r="D61" s="5" t="s">
        <v>119</v>
      </c>
      <c r="E61" s="5" t="s">
        <v>325</v>
      </c>
      <c r="F61" s="31">
        <v>7.911603437508248E-7</v>
      </c>
      <c r="G61" s="38">
        <f>F61*'Parameters (Generic)'!$B$3</f>
        <v>4.7031317794611532E-2</v>
      </c>
    </row>
    <row r="62" spans="1:7">
      <c r="A62" s="5" t="s">
        <v>448</v>
      </c>
      <c r="B62" s="33" t="s">
        <v>449</v>
      </c>
      <c r="C62" s="5" t="s">
        <v>36</v>
      </c>
      <c r="D62" s="5" t="s">
        <v>119</v>
      </c>
      <c r="E62" s="5" t="s">
        <v>319</v>
      </c>
      <c r="F62" s="31">
        <v>8.1642717970728442E-7</v>
      </c>
      <c r="G62" s="38">
        <f>F62*'Parameters (Generic)'!$B$3</f>
        <v>4.8533330124879231E-2</v>
      </c>
    </row>
    <row r="63" spans="1:7">
      <c r="A63" s="5" t="s">
        <v>450</v>
      </c>
      <c r="B63" s="33" t="s">
        <v>451</v>
      </c>
      <c r="C63" s="5" t="s">
        <v>36</v>
      </c>
      <c r="D63" s="5" t="s">
        <v>116</v>
      </c>
      <c r="E63" s="5" t="s">
        <v>121</v>
      </c>
      <c r="F63" s="31">
        <v>3.7831077677290143E-6</v>
      </c>
      <c r="G63" s="38">
        <f>F63*'Parameters (Generic)'!$B$3</f>
        <v>0.22489062436041898</v>
      </c>
    </row>
    <row r="64" spans="1:7">
      <c r="A64" s="5" t="s">
        <v>454</v>
      </c>
      <c r="B64" s="33" t="s">
        <v>455</v>
      </c>
      <c r="C64" s="5" t="s">
        <v>36</v>
      </c>
      <c r="D64" s="5" t="s">
        <v>116</v>
      </c>
      <c r="E64" s="5" t="s">
        <v>325</v>
      </c>
      <c r="F64" s="31">
        <v>1.8480192014010231E-5</v>
      </c>
      <c r="G64" s="38">
        <f>F64*'Parameters (Generic)'!$B$3</f>
        <v>1.0985734944648522</v>
      </c>
    </row>
    <row r="65" spans="1:7">
      <c r="A65" s="5" t="s">
        <v>458</v>
      </c>
      <c r="B65" s="33" t="s">
        <v>459</v>
      </c>
      <c r="C65" s="5" t="s">
        <v>36</v>
      </c>
      <c r="D65" s="5" t="s">
        <v>115</v>
      </c>
      <c r="E65" s="5" t="s">
        <v>121</v>
      </c>
      <c r="F65" s="31">
        <v>1.3876995521772105E-5</v>
      </c>
      <c r="G65" s="38">
        <f>F65*'Parameters (Generic)'!$B$3</f>
        <v>0.82493187578726457</v>
      </c>
    </row>
    <row r="66" spans="1:7">
      <c r="A66" s="5" t="s">
        <v>460</v>
      </c>
      <c r="B66" s="33" t="s">
        <v>461</v>
      </c>
      <c r="C66" s="5" t="s">
        <v>36</v>
      </c>
      <c r="D66" s="5" t="s">
        <v>115</v>
      </c>
      <c r="E66" s="5" t="s">
        <v>121</v>
      </c>
      <c r="F66" s="31">
        <v>2.1412806512397869E-5</v>
      </c>
      <c r="G66" s="38">
        <f>F66*'Parameters (Generic)'!$B$3</f>
        <v>1.2729056959360037</v>
      </c>
    </row>
    <row r="67" spans="1:7">
      <c r="A67" s="5" t="s">
        <v>462</v>
      </c>
      <c r="B67" s="33" t="s">
        <v>463</v>
      </c>
      <c r="C67" s="5" t="s">
        <v>36</v>
      </c>
      <c r="D67" s="5" t="s">
        <v>118</v>
      </c>
      <c r="E67" s="5" t="s">
        <v>325</v>
      </c>
      <c r="F67" s="31">
        <v>1.9849109196493784E-6</v>
      </c>
      <c r="G67" s="38">
        <f>F67*'Parameters (Generic)'!$B$3</f>
        <v>0.11799501452947694</v>
      </c>
    </row>
    <row r="68" spans="1:7">
      <c r="A68" s="5" t="s">
        <v>464</v>
      </c>
      <c r="B68" s="33" t="s">
        <v>465</v>
      </c>
      <c r="C68" s="5" t="s">
        <v>36</v>
      </c>
      <c r="D68" s="5" t="s">
        <v>114</v>
      </c>
      <c r="E68" s="5" t="s">
        <v>322</v>
      </c>
      <c r="F68" s="31">
        <v>2.2655796532844656E-6</v>
      </c>
      <c r="G68" s="38">
        <f>F68*'Parameters (Generic)'!$B$3</f>
        <v>0.13467964806914834</v>
      </c>
    </row>
    <row r="69" spans="1:7">
      <c r="A69" s="5" t="s">
        <v>466</v>
      </c>
      <c r="B69" s="33" t="s">
        <v>467</v>
      </c>
      <c r="C69" s="5" t="s">
        <v>36</v>
      </c>
      <c r="D69" s="5" t="s">
        <v>117</v>
      </c>
      <c r="E69" s="5" t="s">
        <v>325</v>
      </c>
      <c r="F69" s="31">
        <v>4.4939936119643295E-6</v>
      </c>
      <c r="G69" s="38">
        <f>F69*'Parameters (Generic)'!$B$3</f>
        <v>0.26714994425683153</v>
      </c>
    </row>
    <row r="70" spans="1:7">
      <c r="A70" s="5" t="s">
        <v>470</v>
      </c>
      <c r="B70" s="33" t="s">
        <v>471</v>
      </c>
      <c r="C70" s="5" t="s">
        <v>36</v>
      </c>
      <c r="D70" s="5" t="s">
        <v>115</v>
      </c>
      <c r="E70" s="5" t="s">
        <v>121</v>
      </c>
      <c r="F70" s="31">
        <v>1.6370167624632366E-5</v>
      </c>
      <c r="G70" s="38">
        <f>F70*'Parameters (Generic)'!$B$3</f>
        <v>0.97314098461389564</v>
      </c>
    </row>
    <row r="71" spans="1:7">
      <c r="A71" s="5" t="s">
        <v>472</v>
      </c>
      <c r="B71" s="33" t="s">
        <v>473</v>
      </c>
      <c r="C71" s="5" t="s">
        <v>36</v>
      </c>
      <c r="D71" s="5" t="s">
        <v>117</v>
      </c>
      <c r="E71" s="5" t="s">
        <v>121</v>
      </c>
      <c r="F71" s="31">
        <v>2.433857316451121E-5</v>
      </c>
      <c r="G71" s="38">
        <f>F71*'Parameters (Generic)'!$B$3</f>
        <v>1.4468308203375335</v>
      </c>
    </row>
    <row r="72" spans="1:7">
      <c r="A72" s="5" t="s">
        <v>474</v>
      </c>
      <c r="B72" s="33" t="s">
        <v>475</v>
      </c>
      <c r="C72" s="5" t="s">
        <v>36</v>
      </c>
      <c r="D72" s="5" t="s">
        <v>115</v>
      </c>
      <c r="E72" s="5" t="s">
        <v>121</v>
      </c>
      <c r="F72" s="31">
        <v>4.2655751403486494E-5</v>
      </c>
      <c r="G72" s="38">
        <f>F72*'Parameters (Generic)'!$B$3</f>
        <v>2.535713797931658</v>
      </c>
    </row>
    <row r="73" spans="1:7">
      <c r="A73" s="5" t="s">
        <v>476</v>
      </c>
      <c r="B73" s="33" t="s">
        <v>477</v>
      </c>
      <c r="C73" s="5" t="s">
        <v>36</v>
      </c>
      <c r="D73" s="5" t="s">
        <v>116</v>
      </c>
      <c r="E73" s="5" t="s">
        <v>322</v>
      </c>
      <c r="F73" s="31">
        <v>2.1455592109055715E-5</v>
      </c>
      <c r="G73" s="38">
        <f>F73*'Parameters (Generic)'!$B$3</f>
        <v>1.2754491285149261</v>
      </c>
    </row>
    <row r="74" spans="1:7">
      <c r="A74" s="5" t="s">
        <v>478</v>
      </c>
      <c r="B74" s="33" t="s">
        <v>479</v>
      </c>
      <c r="C74" s="5" t="s">
        <v>36</v>
      </c>
      <c r="D74" s="5" t="s">
        <v>114</v>
      </c>
      <c r="E74" s="5" t="s">
        <v>121</v>
      </c>
      <c r="F74" s="31">
        <v>8.5889999871078325E-5</v>
      </c>
      <c r="G74" s="38">
        <f>F74*'Parameters (Generic)'!$B$3</f>
        <v>5.105816932336122</v>
      </c>
    </row>
    <row r="75" spans="1:7">
      <c r="A75" s="5" t="s">
        <v>480</v>
      </c>
      <c r="B75" s="33" t="s">
        <v>481</v>
      </c>
      <c r="C75" s="5" t="s">
        <v>36</v>
      </c>
      <c r="D75" s="5" t="s">
        <v>117</v>
      </c>
      <c r="E75" s="5" t="s">
        <v>325</v>
      </c>
      <c r="F75" s="31">
        <v>9.5422802793920952E-6</v>
      </c>
      <c r="G75" s="38">
        <f>F75*'Parameters (Generic)'!$B$3</f>
        <v>0.56725039348874251</v>
      </c>
    </row>
    <row r="76" spans="1:7">
      <c r="A76" s="5" t="s">
        <v>482</v>
      </c>
      <c r="B76" s="33" t="s">
        <v>483</v>
      </c>
      <c r="C76" s="5" t="s">
        <v>36</v>
      </c>
      <c r="D76" s="5" t="s">
        <v>115</v>
      </c>
      <c r="E76" s="5" t="s">
        <v>322</v>
      </c>
      <c r="F76" s="31">
        <v>4.1403064407007441E-6</v>
      </c>
      <c r="G76" s="38">
        <f>F76*'Parameters (Generic)'!$B$3</f>
        <v>0.24612465667389644</v>
      </c>
    </row>
    <row r="77" spans="1:7">
      <c r="A77" s="5" t="s">
        <v>484</v>
      </c>
      <c r="B77" s="33" t="s">
        <v>485</v>
      </c>
      <c r="C77" s="5" t="s">
        <v>36</v>
      </c>
      <c r="D77" s="5" t="s">
        <v>119</v>
      </c>
      <c r="E77" s="5" t="s">
        <v>325</v>
      </c>
      <c r="F77" s="31">
        <v>2.4960927691432748E-6</v>
      </c>
      <c r="G77" s="38">
        <f>F77*'Parameters (Generic)'!$B$3</f>
        <v>0.14838273075449113</v>
      </c>
    </row>
    <row r="78" spans="1:7">
      <c r="A78" s="5" t="s">
        <v>488</v>
      </c>
      <c r="B78" s="33" t="s">
        <v>489</v>
      </c>
      <c r="C78" s="5" t="s">
        <v>36</v>
      </c>
      <c r="D78" s="5" t="s">
        <v>114</v>
      </c>
      <c r="E78" s="5" t="s">
        <v>121</v>
      </c>
      <c r="F78" s="31">
        <v>2.1288698253913396E-5</v>
      </c>
      <c r="G78" s="38">
        <f>F78*'Parameters (Generic)'!$B$3</f>
        <v>1.2655279564021358</v>
      </c>
    </row>
    <row r="79" spans="1:7">
      <c r="A79" s="5" t="s">
        <v>700</v>
      </c>
      <c r="B79" s="33" t="s">
        <v>701</v>
      </c>
      <c r="C79" s="5" t="s">
        <v>36</v>
      </c>
      <c r="D79" s="5" t="s">
        <v>117</v>
      </c>
      <c r="E79" s="5" t="s">
        <v>121</v>
      </c>
      <c r="F79" s="31">
        <v>3.2394965244967295E-6</v>
      </c>
      <c r="G79" s="38">
        <f>F79*'Parameters (Generic)'!$B$3</f>
        <v>0.19257511039523259</v>
      </c>
    </row>
    <row r="80" spans="1:7">
      <c r="A80" s="5" t="s">
        <v>490</v>
      </c>
      <c r="B80" s="33" t="s">
        <v>491</v>
      </c>
      <c r="C80" s="5" t="s">
        <v>36</v>
      </c>
      <c r="D80" s="5" t="s">
        <v>115</v>
      </c>
      <c r="E80" s="5" t="s">
        <v>325</v>
      </c>
      <c r="F80" s="31">
        <v>2.5159092754028376E-6</v>
      </c>
      <c r="G80" s="38">
        <f>F80*'Parameters (Generic)'!$B$3</f>
        <v>0.14956074278559708</v>
      </c>
    </row>
    <row r="81" spans="1:7">
      <c r="A81" s="5" t="s">
        <v>492</v>
      </c>
      <c r="B81" s="33" t="s">
        <v>493</v>
      </c>
      <c r="C81" s="5" t="s">
        <v>36</v>
      </c>
      <c r="D81" s="5" t="s">
        <v>114</v>
      </c>
      <c r="E81" s="5" t="s">
        <v>325</v>
      </c>
      <c r="F81" s="31">
        <v>4.0333118811655079E-6</v>
      </c>
      <c r="G81" s="38">
        <f>F81*'Parameters (Generic)'!$B$3</f>
        <v>0.23976425808776478</v>
      </c>
    </row>
    <row r="82" spans="1:7">
      <c r="A82" s="5" t="s">
        <v>1516</v>
      </c>
      <c r="B82" s="33" t="s">
        <v>1516</v>
      </c>
      <c r="C82" s="33" t="s">
        <v>1512</v>
      </c>
      <c r="D82" s="5" t="s">
        <v>1516</v>
      </c>
      <c r="E82" s="5" t="s">
        <v>1516</v>
      </c>
      <c r="F82" s="31">
        <v>1.8564987681481266E-5</v>
      </c>
      <c r="G82" s="38">
        <f>F82*'Parameters (Generic)'!$B$3</f>
        <v>1.1036142577133354</v>
      </c>
    </row>
    <row r="83" spans="1:7">
      <c r="A83" s="5" t="s">
        <v>494</v>
      </c>
      <c r="B83" s="33" t="s">
        <v>495</v>
      </c>
      <c r="C83" s="5" t="s">
        <v>36</v>
      </c>
      <c r="D83" s="5" t="s">
        <v>115</v>
      </c>
      <c r="E83" s="5" t="s">
        <v>121</v>
      </c>
      <c r="F83" s="31">
        <v>7.9857151805021991E-6</v>
      </c>
      <c r="G83" s="38">
        <f>F83*'Parameters (Generic)'!$B$3</f>
        <v>0.47471882462013371</v>
      </c>
    </row>
    <row r="84" spans="1:7">
      <c r="A84" s="5" t="s">
        <v>496</v>
      </c>
      <c r="B84" s="33" t="s">
        <v>497</v>
      </c>
      <c r="C84" s="5" t="s">
        <v>36</v>
      </c>
      <c r="D84" s="5" t="s">
        <v>117</v>
      </c>
      <c r="E84" s="5" t="s">
        <v>325</v>
      </c>
      <c r="F84" s="31">
        <v>2.3655288198684752E-5</v>
      </c>
      <c r="G84" s="38">
        <f>F84*'Parameters (Generic)'!$B$3</f>
        <v>1.4062122622590139</v>
      </c>
    </row>
    <row r="85" spans="1:7">
      <c r="A85" s="5" t="s">
        <v>702</v>
      </c>
      <c r="B85" s="33" t="s">
        <v>703</v>
      </c>
      <c r="C85" s="5" t="s">
        <v>36</v>
      </c>
      <c r="D85" s="5" t="s">
        <v>117</v>
      </c>
      <c r="E85" s="5" t="s">
        <v>322</v>
      </c>
      <c r="F85" s="31">
        <v>5.618213364427891E-6</v>
      </c>
      <c r="G85" s="38">
        <f>F85*'Parameters (Generic)'!$B$3</f>
        <v>0.33398031166178038</v>
      </c>
    </row>
    <row r="86" spans="1:7">
      <c r="A86" s="5" t="s">
        <v>502</v>
      </c>
      <c r="B86" s="33" t="s">
        <v>503</v>
      </c>
      <c r="C86" s="5" t="s">
        <v>36</v>
      </c>
      <c r="D86" s="5" t="s">
        <v>115</v>
      </c>
      <c r="E86" s="5" t="s">
        <v>121</v>
      </c>
      <c r="F86" s="31">
        <v>1.1604585982457184E-5</v>
      </c>
      <c r="G86" s="38">
        <f>F86*'Parameters (Generic)'!$B$3</f>
        <v>0.68984621831314974</v>
      </c>
    </row>
    <row r="87" spans="1:7">
      <c r="A87" s="5" t="s">
        <v>504</v>
      </c>
      <c r="B87" s="33" t="s">
        <v>505</v>
      </c>
      <c r="C87" s="5" t="s">
        <v>36</v>
      </c>
      <c r="D87" s="5" t="s">
        <v>115</v>
      </c>
      <c r="E87" s="5" t="s">
        <v>121</v>
      </c>
      <c r="F87" s="31">
        <v>1.5973682411022551E-5</v>
      </c>
      <c r="G87" s="38">
        <f>F87*'Parameters (Generic)'!$B$3</f>
        <v>0.94957152460564653</v>
      </c>
    </row>
    <row r="88" spans="1:7">
      <c r="A88" s="5" t="s">
        <v>510</v>
      </c>
      <c r="B88" s="33" t="s">
        <v>511</v>
      </c>
      <c r="C88" s="5" t="s">
        <v>36</v>
      </c>
      <c r="D88" s="5" t="s">
        <v>119</v>
      </c>
      <c r="E88" s="5" t="s">
        <v>319</v>
      </c>
      <c r="F88" s="31">
        <v>2.535044395683183E-6</v>
      </c>
      <c r="G88" s="38">
        <f>F88*'Parameters (Generic)'!$B$3</f>
        <v>0.1506982491457825</v>
      </c>
    </row>
    <row r="89" spans="1:7">
      <c r="A89" s="5" t="s">
        <v>512</v>
      </c>
      <c r="B89" s="33" t="s">
        <v>513</v>
      </c>
      <c r="C89" s="5" t="s">
        <v>36</v>
      </c>
      <c r="D89" s="5" t="s">
        <v>119</v>
      </c>
      <c r="E89" s="5" t="s">
        <v>319</v>
      </c>
      <c r="F89" s="31">
        <v>2.6066110442119793E-6</v>
      </c>
      <c r="G89" s="38">
        <f>F89*'Parameters (Generic)'!$B$3</f>
        <v>0.15495260013422532</v>
      </c>
    </row>
    <row r="90" spans="1:7">
      <c r="A90" s="5" t="s">
        <v>514</v>
      </c>
      <c r="B90" s="33" t="s">
        <v>515</v>
      </c>
      <c r="C90" s="5" t="s">
        <v>36</v>
      </c>
      <c r="D90" s="5" t="s">
        <v>114</v>
      </c>
      <c r="E90" s="5" t="s">
        <v>322</v>
      </c>
      <c r="F90" s="31">
        <v>7.0614680850223602E-6</v>
      </c>
      <c r="G90" s="38">
        <f>F90*'Parameters (Generic)'!$B$3</f>
        <v>0.41977603178223921</v>
      </c>
    </row>
    <row r="91" spans="1:7">
      <c r="A91" s="5" t="s">
        <v>518</v>
      </c>
      <c r="B91" s="33" t="s">
        <v>519</v>
      </c>
      <c r="C91" s="5" t="s">
        <v>36</v>
      </c>
      <c r="D91" s="5" t="s">
        <v>119</v>
      </c>
      <c r="E91" s="5" t="s">
        <v>319</v>
      </c>
      <c r="F91" s="31">
        <v>4.6469828309743938E-7</v>
      </c>
      <c r="G91" s="38">
        <f>F91*'Parameters (Generic)'!$B$3</f>
        <v>2.7624454137010382E-2</v>
      </c>
    </row>
    <row r="92" spans="1:7">
      <c r="A92" s="5" t="s">
        <v>520</v>
      </c>
      <c r="B92" s="33" t="s">
        <v>521</v>
      </c>
      <c r="C92" s="5" t="s">
        <v>36</v>
      </c>
      <c r="D92" s="5" t="s">
        <v>117</v>
      </c>
      <c r="E92" s="5" t="s">
        <v>121</v>
      </c>
      <c r="F92" s="31">
        <v>2.58646948862032E-5</v>
      </c>
      <c r="G92" s="38">
        <f>F92*'Parameters (Generic)'!$B$3</f>
        <v>1.5375526522052354</v>
      </c>
    </row>
    <row r="93" spans="1:7">
      <c r="A93" s="5" t="s">
        <v>522</v>
      </c>
      <c r="B93" s="33" t="s">
        <v>523</v>
      </c>
      <c r="C93" s="5" t="s">
        <v>36</v>
      </c>
      <c r="D93" s="5" t="s">
        <v>119</v>
      </c>
      <c r="E93" s="5" t="s">
        <v>325</v>
      </c>
      <c r="F93" s="31">
        <v>4.1775719174828297E-7</v>
      </c>
      <c r="G93" s="38">
        <f>F93*'Parameters (Generic)'!$B$3</f>
        <v>2.483399402066843E-2</v>
      </c>
    </row>
    <row r="94" spans="1:7">
      <c r="A94" s="5" t="s">
        <v>524</v>
      </c>
      <c r="B94" s="33" t="s">
        <v>525</v>
      </c>
      <c r="C94" s="5" t="s">
        <v>36</v>
      </c>
      <c r="D94" s="5" t="s">
        <v>119</v>
      </c>
      <c r="E94" s="5" t="s">
        <v>322</v>
      </c>
      <c r="F94" s="31">
        <v>7.8841277538691844E-6</v>
      </c>
      <c r="G94" s="38">
        <f>F94*'Parameters (Generic)'!$B$3</f>
        <v>0.46867985845650756</v>
      </c>
    </row>
    <row r="95" spans="1:7">
      <c r="A95" s="5" t="s">
        <v>526</v>
      </c>
      <c r="B95" s="33" t="s">
        <v>527</v>
      </c>
      <c r="C95" s="5" t="s">
        <v>36</v>
      </c>
      <c r="D95" s="5" t="s">
        <v>116</v>
      </c>
      <c r="E95" s="5" t="s">
        <v>322</v>
      </c>
      <c r="F95" s="31">
        <v>2.2649007632810704E-5</v>
      </c>
      <c r="G95" s="38">
        <f>F95*'Parameters (Generic)'!$B$3</f>
        <v>1.3463929077400651</v>
      </c>
    </row>
    <row r="96" spans="1:7">
      <c r="A96" s="5" t="s">
        <v>530</v>
      </c>
      <c r="B96" s="33" t="s">
        <v>531</v>
      </c>
      <c r="C96" s="5" t="s">
        <v>36</v>
      </c>
      <c r="D96" s="5" t="s">
        <v>115</v>
      </c>
      <c r="E96" s="5" t="s">
        <v>322</v>
      </c>
      <c r="F96" s="31">
        <v>3.513045762002361E-6</v>
      </c>
      <c r="G96" s="38">
        <f>F96*'Parameters (Generic)'!$B$3</f>
        <v>0.20883651836799236</v>
      </c>
    </row>
    <row r="97" spans="1:7">
      <c r="A97" s="5" t="s">
        <v>532</v>
      </c>
      <c r="B97" s="33" t="s">
        <v>533</v>
      </c>
      <c r="C97" s="5" t="s">
        <v>36</v>
      </c>
      <c r="D97" s="5" t="s">
        <v>114</v>
      </c>
      <c r="E97" s="5" t="s">
        <v>325</v>
      </c>
      <c r="F97" s="31">
        <v>4.6223019729428617E-6</v>
      </c>
      <c r="G97" s="38">
        <f>F97*'Parameters (Generic)'!$B$3</f>
        <v>0.27477736308356138</v>
      </c>
    </row>
    <row r="98" spans="1:7">
      <c r="A98" s="5" t="s">
        <v>536</v>
      </c>
      <c r="B98" s="33" t="s">
        <v>537</v>
      </c>
      <c r="C98" s="5" t="s">
        <v>36</v>
      </c>
      <c r="D98" s="5" t="s">
        <v>117</v>
      </c>
      <c r="E98" s="5" t="s">
        <v>325</v>
      </c>
      <c r="F98" s="31">
        <v>4.2448567766905891E-6</v>
      </c>
      <c r="G98" s="38">
        <f>F98*'Parameters (Generic)'!$B$3</f>
        <v>0.25233975594714875</v>
      </c>
    </row>
    <row r="99" spans="1:7">
      <c r="A99" s="5" t="s">
        <v>538</v>
      </c>
      <c r="B99" s="33" t="s">
        <v>539</v>
      </c>
      <c r="C99" s="5" t="s">
        <v>36</v>
      </c>
      <c r="D99" s="5" t="s">
        <v>119</v>
      </c>
      <c r="E99" s="5" t="s">
        <v>319</v>
      </c>
      <c r="F99" s="31">
        <v>3.8843755593868624E-6</v>
      </c>
      <c r="G99" s="38">
        <f>F99*'Parameters (Generic)'!$B$3</f>
        <v>0.23091058950331142</v>
      </c>
    </row>
    <row r="100" spans="1:7">
      <c r="A100" s="5" t="s">
        <v>542</v>
      </c>
      <c r="B100" s="33" t="s">
        <v>543</v>
      </c>
      <c r="C100" s="5" t="s">
        <v>36</v>
      </c>
      <c r="D100" s="5" t="s">
        <v>119</v>
      </c>
      <c r="E100" s="5" t="s">
        <v>322</v>
      </c>
      <c r="F100" s="31">
        <v>4.6272782569514404E-6</v>
      </c>
      <c r="G100" s="38">
        <f>F100*'Parameters (Generic)'!$B$3</f>
        <v>0.27507318326273533</v>
      </c>
    </row>
    <row r="101" spans="1:7">
      <c r="A101" s="5" t="s">
        <v>544</v>
      </c>
      <c r="B101" s="33" t="s">
        <v>545</v>
      </c>
      <c r="C101" s="5" t="s">
        <v>36</v>
      </c>
      <c r="D101" s="5" t="s">
        <v>118</v>
      </c>
      <c r="E101" s="5" t="s">
        <v>325</v>
      </c>
      <c r="F101" s="31">
        <v>1.8441941945556144E-6</v>
      </c>
      <c r="G101" s="38">
        <f>F101*'Parameters (Generic)'!$B$3</f>
        <v>0.10962996808955305</v>
      </c>
    </row>
    <row r="102" spans="1:7">
      <c r="A102" s="5" t="s">
        <v>546</v>
      </c>
      <c r="B102" s="33" t="s">
        <v>547</v>
      </c>
      <c r="C102" s="5" t="s">
        <v>36</v>
      </c>
      <c r="D102" s="5" t="s">
        <v>115</v>
      </c>
      <c r="E102" s="5" t="s">
        <v>121</v>
      </c>
      <c r="F102" s="31">
        <v>2.5561654039354445E-5</v>
      </c>
      <c r="G102" s="38">
        <f>F102*'Parameters (Generic)'!$B$3</f>
        <v>1.5195380860234644</v>
      </c>
    </row>
    <row r="103" spans="1:7">
      <c r="A103" s="5" t="s">
        <v>548</v>
      </c>
      <c r="B103" s="33" t="s">
        <v>549</v>
      </c>
      <c r="C103" s="5" t="s">
        <v>36</v>
      </c>
      <c r="D103" s="5" t="s">
        <v>114</v>
      </c>
      <c r="E103" s="5" t="s">
        <v>121</v>
      </c>
      <c r="F103" s="31">
        <v>2.9071182191328149E-5</v>
      </c>
      <c r="G103" s="38">
        <f>F103*'Parameters (Generic)'!$B$3</f>
        <v>1.7281654965456932</v>
      </c>
    </row>
    <row r="104" spans="1:7">
      <c r="A104" s="5" t="s">
        <v>550</v>
      </c>
      <c r="B104" s="33" t="s">
        <v>551</v>
      </c>
      <c r="C104" s="5" t="s">
        <v>36</v>
      </c>
      <c r="D104" s="5" t="s">
        <v>116</v>
      </c>
      <c r="E104" s="5" t="s">
        <v>325</v>
      </c>
      <c r="F104" s="31">
        <v>2.0178527922147823E-5</v>
      </c>
      <c r="G104" s="38">
        <f>F104*'Parameters (Generic)'!$B$3</f>
        <v>1.1995327708599994</v>
      </c>
    </row>
    <row r="105" spans="1:7">
      <c r="A105" s="5" t="s">
        <v>552</v>
      </c>
      <c r="B105" s="33" t="s">
        <v>553</v>
      </c>
      <c r="C105" s="5" t="s">
        <v>36</v>
      </c>
      <c r="D105" s="5" t="s">
        <v>119</v>
      </c>
      <c r="E105" s="5" t="s">
        <v>319</v>
      </c>
      <c r="F105" s="31">
        <v>8.4234778270069633E-7</v>
      </c>
      <c r="G105" s="38">
        <f>F105*'Parameters (Generic)'!$B$3</f>
        <v>5.0074206290425596E-2</v>
      </c>
    </row>
    <row r="106" spans="1:7">
      <c r="A106" s="5" t="s">
        <v>554</v>
      </c>
      <c r="B106" s="33" t="s">
        <v>555</v>
      </c>
      <c r="C106" s="5" t="s">
        <v>36</v>
      </c>
      <c r="D106" s="5" t="s">
        <v>119</v>
      </c>
      <c r="E106" s="5" t="s">
        <v>325</v>
      </c>
      <c r="F106" s="31">
        <v>0</v>
      </c>
      <c r="G106" s="38">
        <f>F106*'Parameters (Generic)'!$B$3</f>
        <v>0</v>
      </c>
    </row>
    <row r="107" spans="1:7">
      <c r="A107" s="5" t="s">
        <v>760</v>
      </c>
      <c r="B107" s="33" t="s">
        <v>509</v>
      </c>
      <c r="C107" s="5" t="s">
        <v>36</v>
      </c>
      <c r="D107" s="5" t="s">
        <v>115</v>
      </c>
      <c r="E107" s="5" t="s">
        <v>322</v>
      </c>
      <c r="F107" s="31">
        <v>1.5718845365318499E-5</v>
      </c>
      <c r="G107" s="38">
        <f>F107*'Parameters (Generic)'!$B$3</f>
        <v>0.93442248158672347</v>
      </c>
    </row>
    <row r="108" spans="1:7">
      <c r="A108" s="30" t="s">
        <v>556</v>
      </c>
      <c r="B108" s="33" t="s">
        <v>557</v>
      </c>
      <c r="C108" s="5" t="s">
        <v>36</v>
      </c>
      <c r="D108" s="30" t="s">
        <v>115</v>
      </c>
      <c r="E108" s="30" t="s">
        <v>121</v>
      </c>
      <c r="F108" s="32">
        <v>2.0471108100068709E-5</v>
      </c>
      <c r="G108" s="38">
        <f>F108*'Parameters (Generic)'!$B$3</f>
        <v>1.2169254921166845</v>
      </c>
    </row>
    <row r="109" spans="1:7">
      <c r="A109" s="5" t="s">
        <v>710</v>
      </c>
      <c r="B109" s="33" t="s">
        <v>711</v>
      </c>
      <c r="C109" s="5" t="s">
        <v>36</v>
      </c>
      <c r="D109" s="5" t="s">
        <v>117</v>
      </c>
      <c r="E109" s="5" t="s">
        <v>121</v>
      </c>
      <c r="F109" s="31">
        <v>4.9915509761800722E-6</v>
      </c>
      <c r="G109" s="38">
        <f>F109*'Parameters (Generic)'!$B$3</f>
        <v>0.29672773933000057</v>
      </c>
    </row>
    <row r="110" spans="1:7">
      <c r="A110" s="5" t="s">
        <v>558</v>
      </c>
      <c r="B110" s="33" t="s">
        <v>559</v>
      </c>
      <c r="C110" s="5" t="s">
        <v>36</v>
      </c>
      <c r="D110" s="5" t="s">
        <v>118</v>
      </c>
      <c r="E110" s="5" t="s">
        <v>325</v>
      </c>
      <c r="F110" s="31">
        <v>2.9111558499520689E-6</v>
      </c>
      <c r="G110" s="38">
        <f>F110*'Parameters (Generic)'!$B$3</f>
        <v>0.17305657065625069</v>
      </c>
    </row>
    <row r="111" spans="1:7">
      <c r="A111" s="5" t="s">
        <v>562</v>
      </c>
      <c r="B111" s="33" t="s">
        <v>563</v>
      </c>
      <c r="C111" s="5" t="s">
        <v>36</v>
      </c>
      <c r="D111" s="5" t="s">
        <v>116</v>
      </c>
      <c r="E111" s="5" t="s">
        <v>121</v>
      </c>
      <c r="F111" s="31">
        <v>3.082663892782616E-5</v>
      </c>
      <c r="G111" s="38">
        <f>F111*'Parameters (Generic)'!$B$3</f>
        <v>1.8325203777035539</v>
      </c>
    </row>
    <row r="112" spans="1:7">
      <c r="A112" s="5" t="s">
        <v>564</v>
      </c>
      <c r="B112" s="33" t="s">
        <v>565</v>
      </c>
      <c r="C112" s="5" t="s">
        <v>36</v>
      </c>
      <c r="D112" s="5" t="s">
        <v>114</v>
      </c>
      <c r="E112" s="5" t="s">
        <v>325</v>
      </c>
      <c r="F112" s="31">
        <v>3.4967027850536157E-6</v>
      </c>
      <c r="G112" s="38">
        <f>F112*'Parameters (Generic)'!$B$3</f>
        <v>0.20786499376029724</v>
      </c>
    </row>
    <row r="113" spans="1:7">
      <c r="A113" s="5" t="s">
        <v>566</v>
      </c>
      <c r="B113" s="33" t="s">
        <v>567</v>
      </c>
      <c r="C113" s="5" t="s">
        <v>36</v>
      </c>
      <c r="D113" s="5" t="s">
        <v>116</v>
      </c>
      <c r="E113" s="5" t="s">
        <v>322</v>
      </c>
      <c r="F113" s="31">
        <v>9.6917725559000163E-6</v>
      </c>
      <c r="G113" s="38">
        <f>F113*'Parameters (Generic)'!$B$3</f>
        <v>0.57613711135803236</v>
      </c>
    </row>
    <row r="114" spans="1:7">
      <c r="A114" s="5" t="s">
        <v>568</v>
      </c>
      <c r="B114" s="33" t="s">
        <v>569</v>
      </c>
      <c r="C114" s="5" t="s">
        <v>36</v>
      </c>
      <c r="D114" s="5" t="s">
        <v>116</v>
      </c>
      <c r="E114" s="5" t="s">
        <v>322</v>
      </c>
      <c r="F114" s="31">
        <v>1.5095177853936103E-5</v>
      </c>
      <c r="G114" s="38">
        <f>F114*'Parameters (Generic)'!$B$3</f>
        <v>0.89734794270508556</v>
      </c>
    </row>
    <row r="115" spans="1:7">
      <c r="A115" s="5" t="s">
        <v>570</v>
      </c>
      <c r="B115" s="33" t="s">
        <v>571</v>
      </c>
      <c r="C115" s="5" t="s">
        <v>36</v>
      </c>
      <c r="D115" s="5" t="s">
        <v>114</v>
      </c>
      <c r="E115" s="5" t="s">
        <v>325</v>
      </c>
      <c r="F115" s="31">
        <v>5.7061485734071579E-6</v>
      </c>
      <c r="G115" s="38">
        <f>F115*'Parameters (Generic)'!$B$3</f>
        <v>0.33920770809476192</v>
      </c>
    </row>
    <row r="116" spans="1:7">
      <c r="A116" s="5" t="s">
        <v>572</v>
      </c>
      <c r="B116" s="33" t="s">
        <v>573</v>
      </c>
      <c r="C116" s="5" t="s">
        <v>36</v>
      </c>
      <c r="D116" s="5" t="s">
        <v>115</v>
      </c>
      <c r="E116" s="5" t="s">
        <v>121</v>
      </c>
      <c r="F116" s="31">
        <v>1.518145816640535E-5</v>
      </c>
      <c r="G116" s="38">
        <f>F116*'Parameters (Generic)'!$B$3</f>
        <v>0.90247696216013251</v>
      </c>
    </row>
    <row r="117" spans="1:7">
      <c r="A117" s="5" t="s">
        <v>574</v>
      </c>
      <c r="B117" s="33" t="s">
        <v>575</v>
      </c>
      <c r="C117" s="5" t="s">
        <v>36</v>
      </c>
      <c r="D117" s="5" t="s">
        <v>115</v>
      </c>
      <c r="E117" s="5" t="s">
        <v>121</v>
      </c>
      <c r="F117" s="31">
        <v>3.7908282419201527E-5</v>
      </c>
      <c r="G117" s="38">
        <f>F117*'Parameters (Generic)'!$B$3</f>
        <v>2.2534957566918541</v>
      </c>
    </row>
    <row r="118" spans="1:7">
      <c r="A118" s="5" t="s">
        <v>576</v>
      </c>
      <c r="B118" s="33" t="s">
        <v>577</v>
      </c>
      <c r="C118" s="5" t="s">
        <v>36</v>
      </c>
      <c r="D118" s="5" t="s">
        <v>116</v>
      </c>
      <c r="E118" s="5" t="s">
        <v>121</v>
      </c>
      <c r="F118" s="31">
        <v>0</v>
      </c>
      <c r="G118" s="38">
        <f>F118*'Parameters (Generic)'!$B$3</f>
        <v>0</v>
      </c>
    </row>
    <row r="119" spans="1:7">
      <c r="A119" s="5" t="s">
        <v>578</v>
      </c>
      <c r="B119" s="33" t="s">
        <v>579</v>
      </c>
      <c r="C119" s="5" t="s">
        <v>36</v>
      </c>
      <c r="D119" s="5" t="s">
        <v>117</v>
      </c>
      <c r="E119" s="5" t="s">
        <v>121</v>
      </c>
      <c r="F119" s="31">
        <v>1.1990154623647996E-6</v>
      </c>
      <c r="G119" s="38">
        <f>F119*'Parameters (Generic)'!$B$3</f>
        <v>7.1276673175737881E-2</v>
      </c>
    </row>
    <row r="120" spans="1:7">
      <c r="A120" s="5" t="s">
        <v>580</v>
      </c>
      <c r="B120" s="33" t="s">
        <v>581</v>
      </c>
      <c r="C120" s="5" t="s">
        <v>36</v>
      </c>
      <c r="D120" s="5" t="s">
        <v>115</v>
      </c>
      <c r="E120" s="5" t="s">
        <v>121</v>
      </c>
      <c r="F120" s="31">
        <v>9.3283511016729472E-6</v>
      </c>
      <c r="G120" s="38">
        <f>F120*'Parameters (Generic)'!$B$3</f>
        <v>0.55453315959005001</v>
      </c>
    </row>
    <row r="121" spans="1:7">
      <c r="A121" s="5" t="s">
        <v>582</v>
      </c>
      <c r="B121" s="33" t="s">
        <v>583</v>
      </c>
      <c r="C121" s="5" t="s">
        <v>36</v>
      </c>
      <c r="D121" s="5" t="s">
        <v>115</v>
      </c>
      <c r="E121" s="5" t="s">
        <v>322</v>
      </c>
      <c r="F121" s="31">
        <v>7.5803962065609157E-6</v>
      </c>
      <c r="G121" s="38">
        <f>F121*'Parameters (Generic)'!$B$3</f>
        <v>0.45062423289522019</v>
      </c>
    </row>
    <row r="122" spans="1:7">
      <c r="A122" s="5" t="s">
        <v>584</v>
      </c>
      <c r="B122" s="33" t="s">
        <v>585</v>
      </c>
      <c r="C122" s="5" t="s">
        <v>36</v>
      </c>
      <c r="D122" s="5" t="s">
        <v>119</v>
      </c>
      <c r="E122" s="5" t="s">
        <v>319</v>
      </c>
      <c r="F122" s="31">
        <v>1.7970908277206395E-6</v>
      </c>
      <c r="G122" s="38">
        <f>F122*'Parameters (Generic)'!$B$3</f>
        <v>0.10682986134468114</v>
      </c>
    </row>
    <row r="123" spans="1:7">
      <c r="A123" s="5" t="s">
        <v>590</v>
      </c>
      <c r="B123" s="33" t="s">
        <v>591</v>
      </c>
      <c r="C123" s="5" t="s">
        <v>36</v>
      </c>
      <c r="D123" s="5" t="s">
        <v>117</v>
      </c>
      <c r="E123" s="5" t="s">
        <v>121</v>
      </c>
      <c r="F123" s="31">
        <v>3.601634960936517E-6</v>
      </c>
      <c r="G123" s="38">
        <f>F123*'Parameters (Generic)'!$B$3</f>
        <v>0.21410279188783218</v>
      </c>
    </row>
    <row r="124" spans="1:7">
      <c r="A124" s="5" t="s">
        <v>592</v>
      </c>
      <c r="B124" s="33" t="s">
        <v>593</v>
      </c>
      <c r="C124" s="5" t="s">
        <v>36</v>
      </c>
      <c r="D124" s="5" t="s">
        <v>119</v>
      </c>
      <c r="E124" s="5" t="s">
        <v>325</v>
      </c>
      <c r="F124" s="31">
        <v>3.6387630996416036E-6</v>
      </c>
      <c r="G124" s="38">
        <f>F124*'Parameters (Generic)'!$B$3</f>
        <v>0.21630991122129478</v>
      </c>
    </row>
    <row r="125" spans="1:7">
      <c r="A125" s="5" t="s">
        <v>594</v>
      </c>
      <c r="B125" s="33" t="s">
        <v>595</v>
      </c>
      <c r="C125" s="5" t="s">
        <v>36</v>
      </c>
      <c r="D125" s="5" t="s">
        <v>115</v>
      </c>
      <c r="E125" s="5" t="s">
        <v>322</v>
      </c>
      <c r="F125" s="31">
        <v>5.8971154723322809E-6</v>
      </c>
      <c r="G125" s="38">
        <f>F125*'Parameters (Generic)'!$B$3</f>
        <v>0.35055992636826477</v>
      </c>
    </row>
    <row r="126" spans="1:7">
      <c r="A126" s="5" t="s">
        <v>596</v>
      </c>
      <c r="B126" s="33" t="s">
        <v>597</v>
      </c>
      <c r="C126" s="5" t="s">
        <v>36</v>
      </c>
      <c r="D126" s="5" t="s">
        <v>119</v>
      </c>
      <c r="E126" s="5" t="s">
        <v>121</v>
      </c>
      <c r="F126" s="31">
        <v>6.0662284005694824E-6</v>
      </c>
      <c r="G126" s="38">
        <f>F126*'Parameters (Generic)'!$B$3</f>
        <v>0.36061301350025343</v>
      </c>
    </row>
    <row r="127" spans="1:7">
      <c r="A127" s="5" t="s">
        <v>600</v>
      </c>
      <c r="B127" s="33" t="s">
        <v>601</v>
      </c>
      <c r="C127" s="5" t="s">
        <v>36</v>
      </c>
      <c r="D127" s="5" t="s">
        <v>114</v>
      </c>
      <c r="E127" s="5" t="s">
        <v>121</v>
      </c>
      <c r="F127" s="31">
        <v>6.2804260995857427E-6</v>
      </c>
      <c r="G127" s="38">
        <f>F127*'Parameters (Generic)'!$B$3</f>
        <v>0.37334620991597406</v>
      </c>
    </row>
    <row r="128" spans="1:7">
      <c r="A128" s="5" t="s">
        <v>602</v>
      </c>
      <c r="B128" s="33" t="s">
        <v>603</v>
      </c>
      <c r="C128" s="5" t="s">
        <v>36</v>
      </c>
      <c r="D128" s="5" t="s">
        <v>115</v>
      </c>
      <c r="E128" s="5" t="s">
        <v>121</v>
      </c>
      <c r="F128" s="31">
        <v>1.2589369642898753E-5</v>
      </c>
      <c r="G128" s="38">
        <f>F128*'Parameters (Generic)'!$B$3</f>
        <v>0.74838766779175925</v>
      </c>
    </row>
    <row r="129" spans="1:7">
      <c r="A129" s="5" t="s">
        <v>604</v>
      </c>
      <c r="B129" s="33" t="s">
        <v>605</v>
      </c>
      <c r="C129" s="5" t="s">
        <v>36</v>
      </c>
      <c r="D129" s="5" t="s">
        <v>115</v>
      </c>
      <c r="E129" s="5" t="s">
        <v>121</v>
      </c>
      <c r="F129" s="31">
        <v>3.230657916995385E-5</v>
      </c>
      <c r="G129" s="38">
        <f>F129*'Parameters (Generic)'!$B$3</f>
        <v>1.9204969053370766</v>
      </c>
    </row>
    <row r="130" spans="1:7">
      <c r="A130" s="5" t="s">
        <v>606</v>
      </c>
      <c r="B130" s="33" t="s">
        <v>607</v>
      </c>
      <c r="C130" s="5" t="s">
        <v>36</v>
      </c>
      <c r="D130" s="5" t="s">
        <v>114</v>
      </c>
      <c r="E130" s="5" t="s">
        <v>325</v>
      </c>
      <c r="F130" s="31">
        <v>2.1070165845273004E-5</v>
      </c>
      <c r="G130" s="38">
        <f>F130*'Parameters (Generic)'!$B$3</f>
        <v>1.2525370788380989</v>
      </c>
    </row>
    <row r="131" spans="1:7">
      <c r="A131" s="5" t="s">
        <v>610</v>
      </c>
      <c r="B131" s="33" t="s">
        <v>611</v>
      </c>
      <c r="C131" s="5" t="s">
        <v>36</v>
      </c>
      <c r="D131" s="5" t="s">
        <v>119</v>
      </c>
      <c r="E131" s="5" t="s">
        <v>322</v>
      </c>
      <c r="F131" s="31">
        <v>3.3711011947008864E-6</v>
      </c>
      <c r="G131" s="38">
        <f>F131*'Parameters (Generic)'!$B$3</f>
        <v>0.20039848162018889</v>
      </c>
    </row>
    <row r="132" spans="1:7">
      <c r="A132" s="5" t="s">
        <v>612</v>
      </c>
      <c r="B132" s="33" t="s">
        <v>613</v>
      </c>
      <c r="C132" s="5" t="s">
        <v>36</v>
      </c>
      <c r="D132" s="5" t="s">
        <v>115</v>
      </c>
      <c r="E132" s="5" t="s">
        <v>121</v>
      </c>
      <c r="F132" s="31">
        <v>3.9611721917165645E-5</v>
      </c>
      <c r="G132" s="38">
        <f>F132*'Parameters (Generic)'!$B$3</f>
        <v>2.354758421087829</v>
      </c>
    </row>
    <row r="133" spans="1:7">
      <c r="A133" s="5" t="s">
        <v>614</v>
      </c>
      <c r="B133" s="33" t="s">
        <v>615</v>
      </c>
      <c r="C133" s="5" t="s">
        <v>36</v>
      </c>
      <c r="D133" s="5" t="s">
        <v>118</v>
      </c>
      <c r="E133" s="5" t="s">
        <v>325</v>
      </c>
      <c r="F133" s="31">
        <v>1.050848499705085E-5</v>
      </c>
      <c r="G133" s="38">
        <f>F133*'Parameters (Generic)'!$B$3</f>
        <v>0.62468739913468485</v>
      </c>
    </row>
    <row r="134" spans="1:7">
      <c r="A134" s="5" t="s">
        <v>622</v>
      </c>
      <c r="B134" s="33" t="s">
        <v>623</v>
      </c>
      <c r="C134" s="5" t="s">
        <v>36</v>
      </c>
      <c r="D134" s="5" t="s">
        <v>119</v>
      </c>
      <c r="E134" s="5" t="s">
        <v>319</v>
      </c>
      <c r="F134" s="31">
        <v>2.6764543091183676E-6</v>
      </c>
      <c r="G134" s="38">
        <f>F134*'Parameters (Generic)'!$B$3</f>
        <v>0.15910450285985048</v>
      </c>
    </row>
    <row r="135" spans="1:7">
      <c r="A135" s="5" t="s">
        <v>628</v>
      </c>
      <c r="B135" s="33" t="s">
        <v>629</v>
      </c>
      <c r="C135" s="5" t="s">
        <v>36</v>
      </c>
      <c r="D135" s="5" t="s">
        <v>115</v>
      </c>
      <c r="E135" s="5" t="s">
        <v>121</v>
      </c>
      <c r="F135" s="31">
        <v>2.8259374824732546E-5</v>
      </c>
      <c r="G135" s="38">
        <f>F135*'Parameters (Generic)'!$B$3</f>
        <v>1.679906795831051</v>
      </c>
    </row>
    <row r="136" spans="1:7">
      <c r="A136" s="5" t="s">
        <v>630</v>
      </c>
      <c r="B136" s="33" t="s">
        <v>631</v>
      </c>
      <c r="C136" s="5" t="s">
        <v>36</v>
      </c>
      <c r="D136" s="5" t="s">
        <v>115</v>
      </c>
      <c r="E136" s="5" t="s">
        <v>121</v>
      </c>
      <c r="F136" s="31">
        <v>1.7603052974724092E-5</v>
      </c>
      <c r="G136" s="38">
        <f>F136*'Parameters (Generic)'!$B$3</f>
        <v>1.0464310871354483</v>
      </c>
    </row>
    <row r="137" spans="1:7">
      <c r="A137" s="5" t="s">
        <v>636</v>
      </c>
      <c r="B137" s="33" t="s">
        <v>637</v>
      </c>
      <c r="C137" s="5" t="s">
        <v>36</v>
      </c>
      <c r="D137" s="5" t="s">
        <v>115</v>
      </c>
      <c r="E137" s="5" t="s">
        <v>325</v>
      </c>
      <c r="F137" s="31">
        <v>2.1940344808860598E-6</v>
      </c>
      <c r="G137" s="38">
        <f>F137*'Parameters (Generic)'!$B$3</f>
        <v>0.1304265737507527</v>
      </c>
    </row>
    <row r="138" spans="1:7">
      <c r="A138" s="5" t="s">
        <v>638</v>
      </c>
      <c r="B138" s="33" t="s">
        <v>639</v>
      </c>
      <c r="C138" s="5" t="s">
        <v>36</v>
      </c>
      <c r="D138" s="5" t="s">
        <v>119</v>
      </c>
      <c r="E138" s="5" t="s">
        <v>325</v>
      </c>
      <c r="F138" s="31">
        <v>2.6477041470403895E-6</v>
      </c>
      <c r="G138" s="38">
        <f>F138*'Parameters (Generic)'!$B$3</f>
        <v>0.15739542072496299</v>
      </c>
    </row>
    <row r="139" spans="1:7">
      <c r="A139" s="5" t="s">
        <v>640</v>
      </c>
      <c r="B139" s="33" t="s">
        <v>641</v>
      </c>
      <c r="C139" s="5" t="s">
        <v>36</v>
      </c>
      <c r="D139" s="5" t="s">
        <v>114</v>
      </c>
      <c r="E139" s="5" t="s">
        <v>322</v>
      </c>
      <c r="F139" s="31">
        <v>6.8947446693377124E-6</v>
      </c>
      <c r="G139" s="38">
        <f>F139*'Parameters (Generic)'!$B$3</f>
        <v>0.40986499161344964</v>
      </c>
    </row>
    <row r="140" spans="1:7">
      <c r="A140" s="5" t="s">
        <v>644</v>
      </c>
      <c r="B140" s="33" t="s">
        <v>645</v>
      </c>
      <c r="C140" s="5" t="s">
        <v>36</v>
      </c>
      <c r="D140" s="5" t="s">
        <v>119</v>
      </c>
      <c r="E140" s="5" t="s">
        <v>319</v>
      </c>
      <c r="F140" s="31">
        <v>4.4019864315612737E-7</v>
      </c>
      <c r="G140" s="38">
        <f>F140*'Parameters (Generic)'!$B$3</f>
        <v>2.6168048541059148E-2</v>
      </c>
    </row>
    <row r="141" spans="1:7">
      <c r="A141" s="5" t="s">
        <v>646</v>
      </c>
      <c r="B141" s="33" t="s">
        <v>647</v>
      </c>
      <c r="C141" s="5" t="s">
        <v>36</v>
      </c>
      <c r="D141" s="5" t="s">
        <v>114</v>
      </c>
      <c r="E141" s="5" t="s">
        <v>322</v>
      </c>
      <c r="F141" s="31">
        <v>9.5151892341528103E-6</v>
      </c>
      <c r="G141" s="38">
        <f>F141*'Parameters (Generic)'!$B$3</f>
        <v>0.56563993921344802</v>
      </c>
    </row>
    <row r="142" spans="1:7">
      <c r="A142" s="5" t="s">
        <v>650</v>
      </c>
      <c r="B142" s="33" t="s">
        <v>651</v>
      </c>
      <c r="C142" s="5" t="s">
        <v>36</v>
      </c>
      <c r="D142" s="5" t="s">
        <v>117</v>
      </c>
      <c r="E142" s="5" t="s">
        <v>325</v>
      </c>
      <c r="F142" s="31">
        <v>1.2106936098679444E-5</v>
      </c>
      <c r="G142" s="38">
        <f>F142*'Parameters (Generic)'!$B$3</f>
        <v>0.71970892332209824</v>
      </c>
    </row>
    <row r="143" spans="1:7">
      <c r="A143" s="5" t="s">
        <v>652</v>
      </c>
      <c r="B143" s="33" t="s">
        <v>653</v>
      </c>
      <c r="C143" s="5" t="s">
        <v>36</v>
      </c>
      <c r="D143" s="5" t="s">
        <v>115</v>
      </c>
      <c r="E143" s="5" t="s">
        <v>322</v>
      </c>
      <c r="F143" s="31">
        <v>2.058910833998238E-5</v>
      </c>
      <c r="G143" s="38">
        <f>F143*'Parameters (Generic)'!$B$3</f>
        <v>1.2239401343785925</v>
      </c>
    </row>
    <row r="144" spans="1:7">
      <c r="A144" s="5" t="s">
        <v>654</v>
      </c>
      <c r="B144" s="33" t="s">
        <v>655</v>
      </c>
      <c r="C144" s="5" t="s">
        <v>36</v>
      </c>
      <c r="D144" s="5" t="s">
        <v>115</v>
      </c>
      <c r="E144" s="5" t="s">
        <v>322</v>
      </c>
      <c r="F144" s="31">
        <v>4.8212563060806778E-6</v>
      </c>
      <c r="G144" s="38">
        <f>F144*'Parameters (Generic)'!$B$3</f>
        <v>0.28660440237127199</v>
      </c>
    </row>
    <row r="145" spans="1:7">
      <c r="A145" s="5" t="s">
        <v>656</v>
      </c>
      <c r="B145" s="33" t="s">
        <v>657</v>
      </c>
      <c r="C145" s="5" t="s">
        <v>36</v>
      </c>
      <c r="D145" s="5" t="s">
        <v>119</v>
      </c>
      <c r="E145" s="5" t="s">
        <v>319</v>
      </c>
      <c r="F145" s="31">
        <v>1.9512684109697471E-6</v>
      </c>
      <c r="G145" s="38">
        <f>F145*'Parameters (Generic)'!$B$3</f>
        <v>0.11599510195850758</v>
      </c>
    </row>
    <row r="146" spans="1:7">
      <c r="A146" s="5" t="s">
        <v>658</v>
      </c>
      <c r="B146" s="33" t="s">
        <v>659</v>
      </c>
      <c r="C146" s="5" t="s">
        <v>36</v>
      </c>
      <c r="D146" s="5" t="s">
        <v>115</v>
      </c>
      <c r="E146" s="5" t="s">
        <v>325</v>
      </c>
      <c r="F146" s="31">
        <v>2.9342644340033855E-6</v>
      </c>
      <c r="G146" s="38">
        <f>F146*'Parameters (Generic)'!$B$3</f>
        <v>0.17443028354376525</v>
      </c>
    </row>
    <row r="147" spans="1:7">
      <c r="A147" s="5" t="s">
        <v>662</v>
      </c>
      <c r="B147" s="33" t="s">
        <v>663</v>
      </c>
      <c r="C147" s="5" t="s">
        <v>36</v>
      </c>
      <c r="D147" s="5" t="s">
        <v>115</v>
      </c>
      <c r="E147" s="5" t="s">
        <v>121</v>
      </c>
      <c r="F147" s="31">
        <v>4.3007564935495997E-5</v>
      </c>
      <c r="G147" s="38">
        <f>F147*'Parameters (Generic)'!$B$3</f>
        <v>2.5566277051554951</v>
      </c>
    </row>
    <row r="148" spans="1:7">
      <c r="A148" s="5" t="s">
        <v>664</v>
      </c>
      <c r="B148" s="33" t="s">
        <v>665</v>
      </c>
      <c r="C148" s="5" t="s">
        <v>36</v>
      </c>
      <c r="D148" s="5" t="s">
        <v>120</v>
      </c>
      <c r="E148" s="5" t="s">
        <v>121</v>
      </c>
      <c r="F148" s="31">
        <v>1.9800781678035468E-5</v>
      </c>
      <c r="G148" s="38">
        <f>F148*'Parameters (Generic)'!$B$3</f>
        <v>1.1770772676324963</v>
      </c>
    </row>
    <row r="149" spans="1:7">
      <c r="A149" s="5" t="s">
        <v>666</v>
      </c>
      <c r="B149" s="33" t="s">
        <v>667</v>
      </c>
      <c r="C149" s="5" t="s">
        <v>36</v>
      </c>
      <c r="D149" s="5" t="s">
        <v>116</v>
      </c>
      <c r="E149" s="5" t="s">
        <v>121</v>
      </c>
      <c r="F149" s="31">
        <v>3.9074624645735668E-5</v>
      </c>
      <c r="G149" s="38">
        <f>F149*'Parameters (Generic)'!$B$3</f>
        <v>2.3228301366904027</v>
      </c>
    </row>
    <row r="150" spans="1:7">
      <c r="A150" s="5" t="s">
        <v>668</v>
      </c>
      <c r="B150" s="33" t="s">
        <v>669</v>
      </c>
      <c r="C150" s="5" t="s">
        <v>36</v>
      </c>
      <c r="D150" s="5" t="s">
        <v>115</v>
      </c>
      <c r="E150" s="5" t="s">
        <v>325</v>
      </c>
      <c r="F150" s="31">
        <v>4.6948022528136231E-6</v>
      </c>
      <c r="G150" s="38">
        <f>F150*'Parameters (Generic)'!$B$3</f>
        <v>0.27908721472075865</v>
      </c>
    </row>
    <row r="151" spans="1:7">
      <c r="A151" s="5" t="s">
        <v>670</v>
      </c>
      <c r="B151" s="33" t="s">
        <v>671</v>
      </c>
      <c r="C151" s="5" t="s">
        <v>36</v>
      </c>
      <c r="D151" s="5" t="s">
        <v>114</v>
      </c>
      <c r="E151" s="5" t="s">
        <v>325</v>
      </c>
      <c r="F151" s="31">
        <v>1.0910257282656731E-5</v>
      </c>
      <c r="G151" s="38">
        <f>F151*'Parameters (Generic)'!$B$3</f>
        <v>0.64857115442481206</v>
      </c>
    </row>
    <row r="152" spans="1:7">
      <c r="A152" s="5" t="s">
        <v>672</v>
      </c>
      <c r="B152" s="33" t="s">
        <v>673</v>
      </c>
      <c r="C152" s="5" t="s">
        <v>36</v>
      </c>
      <c r="D152" s="5" t="s">
        <v>116</v>
      </c>
      <c r="E152" s="5">
        <v>0</v>
      </c>
      <c r="F152" s="31">
        <v>1.8564987681481266E-5</v>
      </c>
      <c r="G152" s="38">
        <f>F152*'Parameters (Generic)'!$B$3</f>
        <v>1.1036142577133354</v>
      </c>
    </row>
    <row r="153" spans="1:7">
      <c r="A153" s="5" t="s">
        <v>674</v>
      </c>
      <c r="B153" s="33" t="s">
        <v>675</v>
      </c>
      <c r="C153" s="5" t="s">
        <v>36</v>
      </c>
      <c r="D153" s="5" t="s">
        <v>114</v>
      </c>
      <c r="E153" s="5" t="s">
        <v>325</v>
      </c>
      <c r="F153" s="31">
        <v>1.0101006256789429E-5</v>
      </c>
      <c r="G153" s="38">
        <f>F153*'Parameters (Generic)'!$B$3</f>
        <v>0.60046441794110439</v>
      </c>
    </row>
    <row r="154" spans="1:7">
      <c r="A154" s="5" t="s">
        <v>682</v>
      </c>
      <c r="B154" s="33" t="s">
        <v>683</v>
      </c>
      <c r="C154" s="5" t="s">
        <v>36</v>
      </c>
      <c r="D154" s="5" t="s">
        <v>119</v>
      </c>
      <c r="E154" s="5" t="s">
        <v>325</v>
      </c>
      <c r="F154" s="31">
        <v>0</v>
      </c>
      <c r="G154" s="38">
        <f>F154*'Parameters (Generic)'!$B$3</f>
        <v>0</v>
      </c>
    </row>
  </sheetData>
  <autoFilter ref="A1:G154" xr:uid="{AABB91D0-A9F4-9E43-B21D-2D0667020F0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2A4DE-53E3-2D45-80B3-CBB12AFE52CE}">
  <sheetPr>
    <tabColor theme="8"/>
  </sheetPr>
  <dimension ref="A1:AB219"/>
  <sheetViews>
    <sheetView showGridLines="0" topLeftCell="F1" zoomScale="164" workbookViewId="0">
      <selection activeCell="Z1" sqref="Z1"/>
    </sheetView>
  </sheetViews>
  <sheetFormatPr defaultColWidth="10.69921875" defaultRowHeight="15.6"/>
  <cols>
    <col min="1" max="1" width="22" customWidth="1"/>
    <col min="3" max="3" width="19.296875" customWidth="1"/>
    <col min="4" max="4" width="17.796875" customWidth="1"/>
    <col min="5" max="5" width="17.5" customWidth="1"/>
    <col min="6" max="7" width="13.796875" customWidth="1"/>
    <col min="8" max="9" width="12.296875" customWidth="1"/>
    <col min="10" max="12" width="14.69921875" customWidth="1"/>
    <col min="13" max="13" width="15.796875" customWidth="1"/>
    <col min="14" max="14" width="13" customWidth="1"/>
    <col min="15" max="15" width="13.5" customWidth="1"/>
    <col min="16" max="23" width="11" bestFit="1" customWidth="1"/>
    <col min="24" max="25" width="11.19921875" bestFit="1" customWidth="1"/>
    <col min="26" max="28" width="11" bestFit="1" customWidth="1"/>
  </cols>
  <sheetData>
    <row r="1" spans="1:28" ht="58.2" thickBot="1">
      <c r="A1" s="54" t="s">
        <v>36</v>
      </c>
      <c r="B1" s="54" t="s">
        <v>296</v>
      </c>
      <c r="C1" s="54" t="s">
        <v>297</v>
      </c>
      <c r="D1" s="54" t="s">
        <v>298</v>
      </c>
      <c r="E1" s="235" t="s">
        <v>1762</v>
      </c>
      <c r="F1" s="55" t="s">
        <v>1755</v>
      </c>
      <c r="G1" s="55" t="s">
        <v>1764</v>
      </c>
      <c r="H1" s="55" t="s">
        <v>1757</v>
      </c>
      <c r="I1" s="55" t="s">
        <v>1756</v>
      </c>
      <c r="J1" s="55" t="s">
        <v>1768</v>
      </c>
      <c r="K1" s="55" t="s">
        <v>1758</v>
      </c>
      <c r="L1" s="55" t="s">
        <v>1767</v>
      </c>
      <c r="M1" s="55" t="s">
        <v>1760</v>
      </c>
      <c r="N1" s="55" t="s">
        <v>1759</v>
      </c>
      <c r="O1" s="55" t="s">
        <v>1517</v>
      </c>
      <c r="P1" s="56" t="s">
        <v>1518</v>
      </c>
      <c r="Q1" s="56" t="s">
        <v>1519</v>
      </c>
      <c r="R1" s="56" t="s">
        <v>1520</v>
      </c>
      <c r="S1" s="56" t="s">
        <v>1521</v>
      </c>
      <c r="T1" s="56" t="s">
        <v>1522</v>
      </c>
      <c r="U1" s="55" t="s">
        <v>1523</v>
      </c>
      <c r="V1" s="55" t="s">
        <v>1524</v>
      </c>
      <c r="W1" s="55" t="s">
        <v>1525</v>
      </c>
      <c r="X1" s="55" t="s">
        <v>1526</v>
      </c>
      <c r="Y1" s="55" t="s">
        <v>1527</v>
      </c>
      <c r="Z1" s="236" t="s">
        <v>1528</v>
      </c>
      <c r="AA1" s="236" t="s">
        <v>1529</v>
      </c>
      <c r="AB1" s="236" t="s">
        <v>1530</v>
      </c>
    </row>
    <row r="2" spans="1:28">
      <c r="A2" s="57" t="s">
        <v>686</v>
      </c>
      <c r="B2" s="57" t="s">
        <v>687</v>
      </c>
      <c r="C2" s="57" t="s">
        <v>116</v>
      </c>
      <c r="D2" s="57" t="s">
        <v>121</v>
      </c>
      <c r="E2" s="229">
        <v>3648573136.1515474</v>
      </c>
      <c r="F2" s="57">
        <v>2023</v>
      </c>
      <c r="G2" s="57" t="s">
        <v>1763</v>
      </c>
      <c r="H2" s="230">
        <v>50.6</v>
      </c>
      <c r="I2" s="57">
        <v>2024</v>
      </c>
      <c r="J2" s="232">
        <v>51610</v>
      </c>
      <c r="K2" s="57">
        <v>2007</v>
      </c>
      <c r="L2" s="57" t="s">
        <v>1770</v>
      </c>
      <c r="M2" s="232">
        <v>107359</v>
      </c>
      <c r="N2" s="57">
        <v>2023</v>
      </c>
      <c r="O2" s="41">
        <f t="shared" ref="O2:O65" si="0">J2/M2</f>
        <v>0.48072355368436742</v>
      </c>
      <c r="P2" s="231">
        <v>4.05</v>
      </c>
      <c r="Q2" s="231">
        <v>8.52</v>
      </c>
      <c r="R2" s="231">
        <v>13.03</v>
      </c>
      <c r="S2" s="231">
        <v>20.2</v>
      </c>
      <c r="T2" s="231">
        <v>54.21</v>
      </c>
      <c r="U2" s="233">
        <f>(P2/100)*$E2*($H2/100)/($J2*0.2)</f>
        <v>7243.7714860641036</v>
      </c>
      <c r="V2" s="233">
        <f t="shared" ref="V2:V65" si="1">(Q2/100)*$E2*($H2/100)/($J2*0.2)</f>
        <v>15238.748904016331</v>
      </c>
      <c r="W2" s="233">
        <f t="shared" ref="W2:W65" si="2">(R2/100)*$E2*($H2/100)/($J2*0.2)</f>
        <v>23305.269744053148</v>
      </c>
      <c r="X2" s="233">
        <f t="shared" ref="X2:X65" si="3">(S2/100)*$E2*($H2/100)/($J2*0.2)</f>
        <v>36129.428152714776</v>
      </c>
      <c r="Y2" s="233">
        <f t="shared" ref="Y2:Y65" si="4">(T2/100)*$E2*($H2/100)/($J2*0.2)</f>
        <v>96959.222780132099</v>
      </c>
      <c r="Z2" s="234">
        <f>AVERAGE(U2:V2)</f>
        <v>11241.260195040217</v>
      </c>
      <c r="AA2" s="234">
        <f>W2</f>
        <v>23305.269744053148</v>
      </c>
      <c r="AB2" s="234">
        <f>Y2</f>
        <v>96959.222780132099</v>
      </c>
    </row>
    <row r="3" spans="1:28">
      <c r="A3" s="52" t="s">
        <v>317</v>
      </c>
      <c r="B3" s="52" t="s">
        <v>318</v>
      </c>
      <c r="C3" s="52" t="s">
        <v>118</v>
      </c>
      <c r="D3" s="52" t="s">
        <v>319</v>
      </c>
      <c r="E3" s="225">
        <v>17233051620.111732</v>
      </c>
      <c r="F3" s="52">
        <v>2023</v>
      </c>
      <c r="G3" s="57" t="s">
        <v>1763</v>
      </c>
      <c r="H3" s="226">
        <v>38.67</v>
      </c>
      <c r="I3" s="52">
        <v>2024</v>
      </c>
      <c r="J3" s="228">
        <v>8141885</v>
      </c>
      <c r="K3" s="52">
        <v>2021</v>
      </c>
      <c r="L3" s="52" t="s">
        <v>1769</v>
      </c>
      <c r="M3" s="228">
        <v>41454761</v>
      </c>
      <c r="N3" s="52">
        <v>2023</v>
      </c>
      <c r="O3" s="44">
        <f t="shared" si="0"/>
        <v>0.19640409939886036</v>
      </c>
      <c r="P3" s="227">
        <v>5.26</v>
      </c>
      <c r="Q3" s="227">
        <v>9.41</v>
      </c>
      <c r="R3" s="227">
        <v>13.07</v>
      </c>
      <c r="S3" s="227">
        <v>20.71</v>
      </c>
      <c r="T3" s="227">
        <v>51.56</v>
      </c>
      <c r="U3" s="233">
        <f t="shared" ref="U3:U66" si="5">(P3/100)*$E3*($H3/100)/($J3*0.2)</f>
        <v>215.26188826957957</v>
      </c>
      <c r="V3" s="233">
        <f t="shared" si="1"/>
        <v>385.09778871040754</v>
      </c>
      <c r="W3" s="233">
        <f t="shared" si="2"/>
        <v>534.88077560521015</v>
      </c>
      <c r="X3" s="233">
        <f t="shared" si="3"/>
        <v>847.54252966977037</v>
      </c>
      <c r="Y3" s="233">
        <f t="shared" si="4"/>
        <v>2110.0575968021908</v>
      </c>
      <c r="Z3" s="58">
        <f t="shared" ref="Z3:Z66" si="6">AVERAGE(U3:V3)</f>
        <v>300.17983848999359</v>
      </c>
      <c r="AA3" s="58">
        <f t="shared" ref="AA3:AA66" si="7">W3</f>
        <v>534.88077560521015</v>
      </c>
      <c r="AB3" s="58">
        <f t="shared" ref="AB3:AB66" si="8">Y3</f>
        <v>2110.0575968021908</v>
      </c>
    </row>
    <row r="4" spans="1:28">
      <c r="A4" s="52" t="s">
        <v>326</v>
      </c>
      <c r="B4" s="52" t="s">
        <v>327</v>
      </c>
      <c r="C4" s="52" t="s">
        <v>119</v>
      </c>
      <c r="D4" s="52" t="s">
        <v>325</v>
      </c>
      <c r="E4" s="225">
        <v>84824654481.72493</v>
      </c>
      <c r="F4" s="52">
        <v>2023</v>
      </c>
      <c r="G4" s="57" t="s">
        <v>1763</v>
      </c>
      <c r="H4" s="226">
        <v>42.027000000000001</v>
      </c>
      <c r="I4" s="52">
        <v>2024</v>
      </c>
      <c r="J4" s="228">
        <v>13716964</v>
      </c>
      <c r="K4" s="52">
        <v>2022</v>
      </c>
      <c r="L4" s="52" t="s">
        <v>1769</v>
      </c>
      <c r="M4" s="228">
        <v>36749906</v>
      </c>
      <c r="N4" s="52">
        <v>2023</v>
      </c>
      <c r="O4" s="44">
        <f t="shared" si="0"/>
        <v>0.37325167580020474</v>
      </c>
      <c r="P4" s="227">
        <v>1.43</v>
      </c>
      <c r="Q4" s="227">
        <v>5.2</v>
      </c>
      <c r="R4" s="227">
        <v>9.9600000000000009</v>
      </c>
      <c r="S4" s="227">
        <v>17.989999999999998</v>
      </c>
      <c r="T4" s="227">
        <v>65.44</v>
      </c>
      <c r="U4" s="233">
        <f t="shared" si="5"/>
        <v>185.82259996023677</v>
      </c>
      <c r="V4" s="233">
        <f t="shared" si="1"/>
        <v>675.71854530995199</v>
      </c>
      <c r="W4" s="233">
        <f t="shared" si="2"/>
        <v>1294.260906016754</v>
      </c>
      <c r="X4" s="233">
        <f t="shared" si="3"/>
        <v>2337.7262750242371</v>
      </c>
      <c r="Y4" s="233">
        <f t="shared" si="4"/>
        <v>8503.658000977548</v>
      </c>
      <c r="Z4" s="58">
        <f t="shared" si="6"/>
        <v>430.77057263509437</v>
      </c>
      <c r="AA4" s="58">
        <f t="shared" si="7"/>
        <v>1294.260906016754</v>
      </c>
      <c r="AB4" s="58">
        <f t="shared" si="8"/>
        <v>8503.658000977548</v>
      </c>
    </row>
    <row r="5" spans="1:28">
      <c r="A5" s="52" t="s">
        <v>320</v>
      </c>
      <c r="B5" s="52" t="s">
        <v>321</v>
      </c>
      <c r="C5" s="52" t="s">
        <v>115</v>
      </c>
      <c r="D5" s="52" t="s">
        <v>322</v>
      </c>
      <c r="E5" s="225">
        <v>23547179830.441257</v>
      </c>
      <c r="F5" s="52">
        <v>2023</v>
      </c>
      <c r="G5" s="57" t="s">
        <v>1763</v>
      </c>
      <c r="H5" s="226">
        <v>47.328000000000003</v>
      </c>
      <c r="I5" s="52">
        <v>2024</v>
      </c>
      <c r="J5" s="228">
        <v>1482348</v>
      </c>
      <c r="K5" s="52">
        <v>2023</v>
      </c>
      <c r="L5" s="52" t="s">
        <v>1769</v>
      </c>
      <c r="M5" s="228">
        <v>2745972</v>
      </c>
      <c r="N5" s="52">
        <v>2023</v>
      </c>
      <c r="O5" s="44">
        <f t="shared" si="0"/>
        <v>0.53982633471863517</v>
      </c>
      <c r="P5" s="227">
        <v>6.36</v>
      </c>
      <c r="Q5" s="227">
        <v>12.07</v>
      </c>
      <c r="R5" s="227">
        <v>16.829999999999998</v>
      </c>
      <c r="S5" s="227">
        <v>23.36</v>
      </c>
      <c r="T5" s="227">
        <v>41.38</v>
      </c>
      <c r="U5" s="233">
        <f t="shared" si="5"/>
        <v>2390.74910068897</v>
      </c>
      <c r="V5" s="233">
        <f t="shared" si="1"/>
        <v>4537.1606360559545</v>
      </c>
      <c r="W5" s="233">
        <f t="shared" si="2"/>
        <v>6326.4634221061897</v>
      </c>
      <c r="X5" s="233">
        <f t="shared" si="3"/>
        <v>8781.1161937255256</v>
      </c>
      <c r="Y5" s="233">
        <f t="shared" si="4"/>
        <v>15554.905312344274</v>
      </c>
      <c r="Z5" s="58">
        <f t="shared" si="6"/>
        <v>3463.9548683724624</v>
      </c>
      <c r="AA5" s="58">
        <f t="shared" si="7"/>
        <v>6326.4634221061897</v>
      </c>
      <c r="AB5" s="58">
        <f t="shared" si="8"/>
        <v>15554.905312344274</v>
      </c>
    </row>
    <row r="6" spans="1:28">
      <c r="A6" s="52" t="s">
        <v>688</v>
      </c>
      <c r="B6" s="52" t="s">
        <v>689</v>
      </c>
      <c r="C6" s="52" t="s">
        <v>115</v>
      </c>
      <c r="D6" s="52" t="s">
        <v>121</v>
      </c>
      <c r="E6" s="225">
        <v>3785067331.762496</v>
      </c>
      <c r="F6" s="52">
        <v>2023</v>
      </c>
      <c r="G6" s="57" t="s">
        <v>1763</v>
      </c>
      <c r="H6" s="226">
        <v>57.1</v>
      </c>
      <c r="I6" s="52">
        <v>2024</v>
      </c>
      <c r="J6" s="228">
        <v>39750</v>
      </c>
      <c r="K6" s="52">
        <v>2016</v>
      </c>
      <c r="L6" s="52" t="s">
        <v>1770</v>
      </c>
      <c r="M6" s="228">
        <v>80856</v>
      </c>
      <c r="N6" s="52">
        <v>2023</v>
      </c>
      <c r="O6" s="44">
        <f t="shared" si="0"/>
        <v>0.49161472246957555</v>
      </c>
      <c r="P6" s="227">
        <v>8.4499999999999993</v>
      </c>
      <c r="Q6" s="227">
        <v>12.75</v>
      </c>
      <c r="R6" s="227">
        <v>16.57</v>
      </c>
      <c r="S6" s="227">
        <v>22.41</v>
      </c>
      <c r="T6" s="227">
        <v>39.82</v>
      </c>
      <c r="U6" s="233">
        <f t="shared" si="5"/>
        <v>22972.025940110008</v>
      </c>
      <c r="V6" s="233">
        <f t="shared" si="1"/>
        <v>34661.932631526935</v>
      </c>
      <c r="W6" s="233">
        <f t="shared" si="2"/>
        <v>45046.919506227568</v>
      </c>
      <c r="X6" s="233">
        <f t="shared" si="3"/>
        <v>60923.443942942635</v>
      </c>
      <c r="Y6" s="233">
        <f t="shared" si="4"/>
        <v>108253.97312842374</v>
      </c>
      <c r="Z6" s="58">
        <f t="shared" si="6"/>
        <v>28816.979285818474</v>
      </c>
      <c r="AA6" s="58">
        <f t="shared" si="7"/>
        <v>45046.919506227568</v>
      </c>
      <c r="AB6" s="58">
        <f t="shared" si="8"/>
        <v>108253.97312842374</v>
      </c>
    </row>
    <row r="7" spans="1:28">
      <c r="A7" s="52" t="s">
        <v>660</v>
      </c>
      <c r="B7" s="52" t="s">
        <v>661</v>
      </c>
      <c r="C7" s="52" t="s">
        <v>117</v>
      </c>
      <c r="D7" s="52" t="s">
        <v>121</v>
      </c>
      <c r="E7" s="225">
        <v>514130432653.08105</v>
      </c>
      <c r="F7" s="52">
        <v>2023</v>
      </c>
      <c r="G7" s="57" t="s">
        <v>1763</v>
      </c>
      <c r="H7" s="226">
        <v>33.735999999999997</v>
      </c>
      <c r="I7" s="52">
        <v>2024</v>
      </c>
      <c r="J7" s="228">
        <v>8748573</v>
      </c>
      <c r="K7" s="52">
        <v>2023</v>
      </c>
      <c r="L7" s="52" t="s">
        <v>1769</v>
      </c>
      <c r="M7" s="228">
        <v>10483751</v>
      </c>
      <c r="N7" s="52">
        <v>2023</v>
      </c>
      <c r="O7" s="44">
        <f t="shared" si="0"/>
        <v>0.83448881988898815</v>
      </c>
      <c r="P7" s="227">
        <v>9.2200000000000006</v>
      </c>
      <c r="Q7" s="227">
        <v>13.75</v>
      </c>
      <c r="R7" s="227">
        <v>18.34</v>
      </c>
      <c r="S7" s="227">
        <v>23.88</v>
      </c>
      <c r="T7" s="227">
        <v>34.81</v>
      </c>
      <c r="U7" s="233">
        <f t="shared" si="5"/>
        <v>9139.6718884654456</v>
      </c>
      <c r="V7" s="233">
        <f t="shared" si="1"/>
        <v>13630.204822819944</v>
      </c>
      <c r="W7" s="233">
        <f t="shared" si="2"/>
        <v>18180.215014583111</v>
      </c>
      <c r="X7" s="233">
        <f t="shared" si="3"/>
        <v>23671.948448650201</v>
      </c>
      <c r="Y7" s="233">
        <f t="shared" si="4"/>
        <v>34506.722173262715</v>
      </c>
      <c r="Z7" s="58">
        <f t="shared" si="6"/>
        <v>11384.938355642695</v>
      </c>
      <c r="AA7" s="58">
        <f t="shared" si="7"/>
        <v>18180.215014583111</v>
      </c>
      <c r="AB7" s="58">
        <f t="shared" si="8"/>
        <v>34506.722173262715</v>
      </c>
    </row>
    <row r="8" spans="1:28">
      <c r="A8" s="52" t="s">
        <v>330</v>
      </c>
      <c r="B8" s="52" t="s">
        <v>331</v>
      </c>
      <c r="C8" s="52" t="s">
        <v>116</v>
      </c>
      <c r="D8" s="52" t="s">
        <v>322</v>
      </c>
      <c r="E8" s="225">
        <v>646075277525.12451</v>
      </c>
      <c r="F8" s="52">
        <v>2023</v>
      </c>
      <c r="G8" s="57" t="s">
        <v>1763</v>
      </c>
      <c r="H8" s="226">
        <v>51.198</v>
      </c>
      <c r="I8" s="52">
        <v>2024</v>
      </c>
      <c r="J8" s="228">
        <v>14163024</v>
      </c>
      <c r="K8" s="52">
        <v>2023</v>
      </c>
      <c r="L8" s="52" t="s">
        <v>1769</v>
      </c>
      <c r="M8" s="228">
        <v>45538401</v>
      </c>
      <c r="N8" s="52">
        <v>2023</v>
      </c>
      <c r="O8" s="44">
        <f t="shared" si="0"/>
        <v>0.31101276480919915</v>
      </c>
      <c r="P8" s="227">
        <v>5.92</v>
      </c>
      <c r="Q8" s="227">
        <v>10.72</v>
      </c>
      <c r="R8" s="227">
        <v>14.93</v>
      </c>
      <c r="S8" s="227">
        <v>21.74</v>
      </c>
      <c r="T8" s="227">
        <v>46.69</v>
      </c>
      <c r="U8" s="233">
        <f t="shared" si="5"/>
        <v>6913.0840768076587</v>
      </c>
      <c r="V8" s="233">
        <f t="shared" si="1"/>
        <v>12518.28738232738</v>
      </c>
      <c r="W8" s="233">
        <f t="shared" si="2"/>
        <v>17434.51778154364</v>
      </c>
      <c r="X8" s="233">
        <f t="shared" si="3"/>
        <v>25386.899971249746</v>
      </c>
      <c r="Y8" s="233">
        <f t="shared" si="4"/>
        <v>54522.279653065809</v>
      </c>
      <c r="Z8" s="58">
        <f t="shared" si="6"/>
        <v>9715.68572956752</v>
      </c>
      <c r="AA8" s="58">
        <f t="shared" si="7"/>
        <v>17434.51778154364</v>
      </c>
      <c r="AB8" s="58">
        <f t="shared" si="8"/>
        <v>54522.279653065809</v>
      </c>
    </row>
    <row r="9" spans="1:28">
      <c r="A9" s="52" t="s">
        <v>332</v>
      </c>
      <c r="B9" s="52" t="s">
        <v>333</v>
      </c>
      <c r="C9" s="52" t="s">
        <v>115</v>
      </c>
      <c r="D9" s="52" t="s">
        <v>322</v>
      </c>
      <c r="E9" s="225">
        <v>24085749592.335915</v>
      </c>
      <c r="F9" s="52">
        <v>2023</v>
      </c>
      <c r="G9" s="57" t="s">
        <v>1763</v>
      </c>
      <c r="H9" s="226">
        <v>51.420999999999999</v>
      </c>
      <c r="I9" s="52">
        <v>2024</v>
      </c>
      <c r="J9" s="228">
        <v>1330551</v>
      </c>
      <c r="K9" s="52">
        <v>2023</v>
      </c>
      <c r="L9" s="52" t="s">
        <v>1769</v>
      </c>
      <c r="M9" s="228">
        <v>2990900</v>
      </c>
      <c r="N9" s="52">
        <v>2023</v>
      </c>
      <c r="O9" s="44">
        <f t="shared" si="0"/>
        <v>0.44486642816543515</v>
      </c>
      <c r="P9" s="227">
        <v>8.51</v>
      </c>
      <c r="Q9" s="227">
        <v>13.17</v>
      </c>
      <c r="R9" s="227">
        <v>17.36</v>
      </c>
      <c r="S9" s="227">
        <v>22.72</v>
      </c>
      <c r="T9" s="227">
        <v>38.24</v>
      </c>
      <c r="U9" s="233">
        <f t="shared" si="5"/>
        <v>3960.67059304441</v>
      </c>
      <c r="V9" s="233">
        <f t="shared" si="1"/>
        <v>6129.498438354276</v>
      </c>
      <c r="W9" s="233">
        <f t="shared" si="2"/>
        <v>8079.5818443303142</v>
      </c>
      <c r="X9" s="233">
        <f t="shared" si="3"/>
        <v>10574.199280137369</v>
      </c>
      <c r="Y9" s="233">
        <f t="shared" si="4"/>
        <v>17797.419915160783</v>
      </c>
      <c r="Z9" s="58">
        <f t="shared" si="6"/>
        <v>5045.0845156993428</v>
      </c>
      <c r="AA9" s="58">
        <f t="shared" si="7"/>
        <v>8079.5818443303142</v>
      </c>
      <c r="AB9" s="58">
        <f t="shared" si="8"/>
        <v>17797.419915160783</v>
      </c>
    </row>
    <row r="10" spans="1:28">
      <c r="A10" s="52" t="s">
        <v>739</v>
      </c>
      <c r="B10" s="52" t="s">
        <v>587</v>
      </c>
      <c r="C10" s="52" t="s">
        <v>114</v>
      </c>
      <c r="D10" s="52" t="s">
        <v>121</v>
      </c>
      <c r="E10" s="225">
        <v>871000000</v>
      </c>
      <c r="F10" s="52">
        <v>2022</v>
      </c>
      <c r="G10" s="57" t="s">
        <v>1763</v>
      </c>
      <c r="H10" s="226">
        <v>39.993000000000002</v>
      </c>
      <c r="I10" s="52">
        <v>2024</v>
      </c>
      <c r="J10" s="228">
        <v>55960</v>
      </c>
      <c r="K10" s="52">
        <v>2022</v>
      </c>
      <c r="L10" s="52" t="s">
        <v>1769</v>
      </c>
      <c r="M10" s="228">
        <v>216663</v>
      </c>
      <c r="N10" s="52">
        <v>2023</v>
      </c>
      <c r="O10" s="44">
        <f t="shared" si="0"/>
        <v>0.25828129399112909</v>
      </c>
      <c r="P10" s="227">
        <v>7.2819999999999991</v>
      </c>
      <c r="Q10" s="227">
        <v>12.249999999999998</v>
      </c>
      <c r="R10" s="227">
        <v>16.434000000000001</v>
      </c>
      <c r="S10" s="227">
        <v>22.161000000000001</v>
      </c>
      <c r="T10" s="227">
        <v>41.876999999999995</v>
      </c>
      <c r="U10" s="233">
        <f t="shared" si="5"/>
        <v>2266.4446179949964</v>
      </c>
      <c r="V10" s="233">
        <f t="shared" si="1"/>
        <v>3812.6814845425301</v>
      </c>
      <c r="W10" s="233">
        <f t="shared" si="2"/>
        <v>5114.9067360793424</v>
      </c>
      <c r="X10" s="233">
        <f t="shared" si="3"/>
        <v>6897.3742350160828</v>
      </c>
      <c r="Y10" s="233">
        <f t="shared" si="4"/>
        <v>13033.768369647963</v>
      </c>
      <c r="Z10" s="58">
        <f t="shared" si="6"/>
        <v>3039.563051268763</v>
      </c>
      <c r="AA10" s="58">
        <f t="shared" si="7"/>
        <v>5114.9067360793424</v>
      </c>
      <c r="AB10" s="58">
        <f t="shared" si="8"/>
        <v>13033.768369647963</v>
      </c>
    </row>
    <row r="11" spans="1:28">
      <c r="A11" s="52" t="s">
        <v>328</v>
      </c>
      <c r="B11" s="52" t="s">
        <v>329</v>
      </c>
      <c r="C11" s="52" t="s">
        <v>116</v>
      </c>
      <c r="D11" s="52" t="s">
        <v>121</v>
      </c>
      <c r="E11" s="225">
        <v>2033085185.185185</v>
      </c>
      <c r="F11" s="52">
        <v>2023</v>
      </c>
      <c r="G11" s="57" t="s">
        <v>1763</v>
      </c>
      <c r="H11" s="226">
        <v>50.6</v>
      </c>
      <c r="I11" s="52">
        <v>2024</v>
      </c>
      <c r="J11" s="228">
        <v>59181</v>
      </c>
      <c r="K11" s="52">
        <v>2023</v>
      </c>
      <c r="L11" s="52" t="s">
        <v>1769</v>
      </c>
      <c r="M11" s="228">
        <v>93316</v>
      </c>
      <c r="N11" s="52">
        <v>2023</v>
      </c>
      <c r="O11" s="44">
        <f t="shared" si="0"/>
        <v>0.63419992284281368</v>
      </c>
      <c r="P11" s="227">
        <v>4.05</v>
      </c>
      <c r="Q11" s="227">
        <v>8.52</v>
      </c>
      <c r="R11" s="227">
        <v>13.03</v>
      </c>
      <c r="S11" s="227">
        <v>20.2</v>
      </c>
      <c r="T11" s="227">
        <v>54.21</v>
      </c>
      <c r="U11" s="233">
        <f t="shared" si="5"/>
        <v>3520.0499062199019</v>
      </c>
      <c r="V11" s="233">
        <f t="shared" si="1"/>
        <v>7405.1420249366802</v>
      </c>
      <c r="W11" s="233">
        <f t="shared" si="2"/>
        <v>11325.000068653164</v>
      </c>
      <c r="X11" s="233">
        <f t="shared" si="3"/>
        <v>17556.792124849879</v>
      </c>
      <c r="Y11" s="233">
        <f t="shared" si="4"/>
        <v>47116.519855847124</v>
      </c>
      <c r="Z11" s="58">
        <f t="shared" si="6"/>
        <v>5462.5959655782908</v>
      </c>
      <c r="AA11" s="58">
        <f t="shared" si="7"/>
        <v>11325.000068653164</v>
      </c>
      <c r="AB11" s="58">
        <f t="shared" si="8"/>
        <v>47116.519855847124</v>
      </c>
    </row>
    <row r="12" spans="1:28">
      <c r="A12" s="52" t="s">
        <v>334</v>
      </c>
      <c r="B12" s="52" t="s">
        <v>335</v>
      </c>
      <c r="C12" s="52" t="s">
        <v>114</v>
      </c>
      <c r="D12" s="52" t="s">
        <v>121</v>
      </c>
      <c r="E12" s="225">
        <v>1728057316695.6077</v>
      </c>
      <c r="F12" s="52">
        <v>2023</v>
      </c>
      <c r="G12" s="57" t="s">
        <v>1763</v>
      </c>
      <c r="H12" s="226">
        <v>55.42</v>
      </c>
      <c r="I12" s="52">
        <v>2024</v>
      </c>
      <c r="J12" s="228">
        <v>15013883</v>
      </c>
      <c r="K12" s="52">
        <v>2024</v>
      </c>
      <c r="L12" s="52" t="s">
        <v>1769</v>
      </c>
      <c r="M12" s="228">
        <v>26658948</v>
      </c>
      <c r="N12" s="52">
        <v>2023</v>
      </c>
      <c r="O12" s="44">
        <f t="shared" si="0"/>
        <v>0.56318362600054583</v>
      </c>
      <c r="P12" s="227">
        <v>7.21</v>
      </c>
      <c r="Q12" s="227">
        <v>12.16</v>
      </c>
      <c r="R12" s="227">
        <v>16.37</v>
      </c>
      <c r="S12" s="227">
        <v>22.44</v>
      </c>
      <c r="T12" s="227">
        <v>41.82</v>
      </c>
      <c r="U12" s="233">
        <f t="shared" si="5"/>
        <v>22995.184926579648</v>
      </c>
      <c r="V12" s="233">
        <f t="shared" si="1"/>
        <v>38782.447809598962</v>
      </c>
      <c r="W12" s="233">
        <f t="shared" si="2"/>
        <v>52209.594625257821</v>
      </c>
      <c r="X12" s="233">
        <f t="shared" si="3"/>
        <v>71568.925069687568</v>
      </c>
      <c r="Y12" s="233">
        <f t="shared" si="4"/>
        <v>133378.4512662359</v>
      </c>
      <c r="Z12" s="58">
        <f t="shared" si="6"/>
        <v>30888.816368089305</v>
      </c>
      <c r="AA12" s="58">
        <f t="shared" si="7"/>
        <v>52209.594625257821</v>
      </c>
      <c r="AB12" s="58">
        <f t="shared" si="8"/>
        <v>133378.4512662359</v>
      </c>
    </row>
    <row r="13" spans="1:28">
      <c r="A13" s="52" t="s">
        <v>336</v>
      </c>
      <c r="B13" s="52" t="s">
        <v>337</v>
      </c>
      <c r="C13" s="52" t="s">
        <v>115</v>
      </c>
      <c r="D13" s="52" t="s">
        <v>121</v>
      </c>
      <c r="E13" s="225">
        <v>511685203845.00122</v>
      </c>
      <c r="F13" s="52">
        <v>2023</v>
      </c>
      <c r="G13" s="57" t="s">
        <v>1763</v>
      </c>
      <c r="H13" s="226">
        <v>60.539000000000001</v>
      </c>
      <c r="I13" s="52">
        <v>2024</v>
      </c>
      <c r="J13" s="228">
        <v>4732099</v>
      </c>
      <c r="K13" s="52">
        <v>2023</v>
      </c>
      <c r="L13" s="52" t="s">
        <v>1769</v>
      </c>
      <c r="M13" s="228">
        <v>9131761</v>
      </c>
      <c r="N13" s="52">
        <v>2023</v>
      </c>
      <c r="O13" s="44">
        <f t="shared" si="0"/>
        <v>0.51820223941471966</v>
      </c>
      <c r="P13" s="227">
        <v>7.84</v>
      </c>
      <c r="Q13" s="227">
        <v>13.22</v>
      </c>
      <c r="R13" s="227">
        <v>17.48</v>
      </c>
      <c r="S13" s="227">
        <v>23.1</v>
      </c>
      <c r="T13" s="227">
        <v>38.35</v>
      </c>
      <c r="U13" s="233">
        <f t="shared" si="5"/>
        <v>25660.809162666359</v>
      </c>
      <c r="V13" s="233">
        <f t="shared" si="1"/>
        <v>43269.884838067512</v>
      </c>
      <c r="W13" s="233">
        <f t="shared" si="2"/>
        <v>57213.130633087741</v>
      </c>
      <c r="X13" s="233">
        <f t="shared" si="3"/>
        <v>75607.741282856237</v>
      </c>
      <c r="Y13" s="233">
        <f t="shared" si="4"/>
        <v>125521.94277911414</v>
      </c>
      <c r="Z13" s="58">
        <f t="shared" si="6"/>
        <v>34465.347000366935</v>
      </c>
      <c r="AA13" s="58">
        <f t="shared" si="7"/>
        <v>57213.130633087741</v>
      </c>
      <c r="AB13" s="58">
        <f t="shared" si="8"/>
        <v>125521.94277911414</v>
      </c>
    </row>
    <row r="14" spans="1:28">
      <c r="A14" s="52" t="s">
        <v>338</v>
      </c>
      <c r="B14" s="52" t="s">
        <v>339</v>
      </c>
      <c r="C14" s="52" t="s">
        <v>115</v>
      </c>
      <c r="D14" s="52" t="s">
        <v>322</v>
      </c>
      <c r="E14" s="225">
        <v>72356176470.588242</v>
      </c>
      <c r="F14" s="52">
        <v>2023</v>
      </c>
      <c r="G14" s="57" t="s">
        <v>1763</v>
      </c>
      <c r="H14" s="226">
        <v>45.56</v>
      </c>
      <c r="I14" s="52">
        <v>2024</v>
      </c>
      <c r="J14" s="228">
        <v>5194362</v>
      </c>
      <c r="K14" s="52">
        <v>2022</v>
      </c>
      <c r="L14" s="52" t="s">
        <v>1769</v>
      </c>
      <c r="M14" s="228">
        <v>10153958</v>
      </c>
      <c r="N14" s="52">
        <v>2023</v>
      </c>
      <c r="O14" s="44">
        <f t="shared" si="0"/>
        <v>0.51156031963102466</v>
      </c>
      <c r="P14" s="227">
        <v>12.36</v>
      </c>
      <c r="Q14" s="227">
        <v>15.67</v>
      </c>
      <c r="R14" s="227">
        <v>18.38</v>
      </c>
      <c r="S14" s="227">
        <v>21.88</v>
      </c>
      <c r="T14" s="227">
        <v>31.72</v>
      </c>
      <c r="U14" s="233">
        <f t="shared" si="5"/>
        <v>3922.0722260019616</v>
      </c>
      <c r="V14" s="233">
        <f t="shared" si="1"/>
        <v>4972.4006295672116</v>
      </c>
      <c r="W14" s="233">
        <f t="shared" si="2"/>
        <v>5832.3371775012993</v>
      </c>
      <c r="X14" s="233">
        <f t="shared" si="3"/>
        <v>6942.9563353497506</v>
      </c>
      <c r="Y14" s="233">
        <f t="shared" si="4"/>
        <v>10065.382767700827</v>
      </c>
      <c r="Z14" s="58">
        <f t="shared" si="6"/>
        <v>4447.2364277845863</v>
      </c>
      <c r="AA14" s="58">
        <f t="shared" si="7"/>
        <v>5832.3371775012993</v>
      </c>
      <c r="AB14" s="58">
        <f t="shared" si="8"/>
        <v>10065.382767700827</v>
      </c>
    </row>
    <row r="15" spans="1:28">
      <c r="A15" s="52" t="s">
        <v>370</v>
      </c>
      <c r="B15" s="52" t="s">
        <v>371</v>
      </c>
      <c r="C15" s="52" t="s">
        <v>119</v>
      </c>
      <c r="D15" s="52" t="s">
        <v>319</v>
      </c>
      <c r="E15" s="225">
        <v>2642161668.8521075</v>
      </c>
      <c r="F15" s="52">
        <v>2023</v>
      </c>
      <c r="G15" s="57" t="s">
        <v>1763</v>
      </c>
      <c r="H15" s="226">
        <v>37.295999999999999</v>
      </c>
      <c r="I15" s="52">
        <v>2024</v>
      </c>
      <c r="J15" s="228">
        <v>5005223</v>
      </c>
      <c r="K15" s="52">
        <v>2020</v>
      </c>
      <c r="L15" s="52" t="s">
        <v>1769</v>
      </c>
      <c r="M15" s="228">
        <v>13689450</v>
      </c>
      <c r="N15" s="52">
        <v>2023</v>
      </c>
      <c r="O15" s="44">
        <f t="shared" si="0"/>
        <v>0.3656263034672686</v>
      </c>
      <c r="P15" s="227">
        <v>3.7</v>
      </c>
      <c r="Q15" s="227">
        <v>7.47</v>
      </c>
      <c r="R15" s="227">
        <v>11.5</v>
      </c>
      <c r="S15" s="227">
        <v>18.809999999999999</v>
      </c>
      <c r="T15" s="227">
        <v>58.51</v>
      </c>
      <c r="U15" s="233">
        <f t="shared" si="5"/>
        <v>36.42251583251938</v>
      </c>
      <c r="V15" s="233">
        <f t="shared" si="1"/>
        <v>73.534106288897249</v>
      </c>
      <c r="W15" s="233">
        <f t="shared" si="2"/>
        <v>113.20511677674943</v>
      </c>
      <c r="X15" s="233">
        <f t="shared" si="3"/>
        <v>185.16419535397014</v>
      </c>
      <c r="Y15" s="233">
        <f t="shared" si="4"/>
        <v>575.96794631370506</v>
      </c>
      <c r="Z15" s="58">
        <f t="shared" si="6"/>
        <v>54.978311060708315</v>
      </c>
      <c r="AA15" s="58">
        <f t="shared" si="7"/>
        <v>113.20511677674943</v>
      </c>
      <c r="AB15" s="58">
        <f t="shared" si="8"/>
        <v>575.96794631370506</v>
      </c>
    </row>
    <row r="16" spans="1:28">
      <c r="A16" s="52" t="s">
        <v>348</v>
      </c>
      <c r="B16" s="52" t="s">
        <v>349</v>
      </c>
      <c r="C16" s="52" t="s">
        <v>115</v>
      </c>
      <c r="D16" s="52" t="s">
        <v>121</v>
      </c>
      <c r="E16" s="225">
        <v>644782756682.75647</v>
      </c>
      <c r="F16" s="52">
        <v>2023</v>
      </c>
      <c r="G16" s="57" t="s">
        <v>1763</v>
      </c>
      <c r="H16" s="226">
        <v>63.853999999999999</v>
      </c>
      <c r="I16" s="52">
        <v>2024</v>
      </c>
      <c r="J16" s="228">
        <v>5323771</v>
      </c>
      <c r="K16" s="52">
        <v>2023</v>
      </c>
      <c r="L16" s="52" t="s">
        <v>1769</v>
      </c>
      <c r="M16" s="228">
        <v>11787423</v>
      </c>
      <c r="N16" s="52">
        <v>2023</v>
      </c>
      <c r="O16" s="44">
        <f t="shared" si="0"/>
        <v>0.45164842222087048</v>
      </c>
      <c r="P16" s="227">
        <v>8.9600000000000009</v>
      </c>
      <c r="Q16" s="227">
        <v>14.24</v>
      </c>
      <c r="R16" s="227">
        <v>17.95</v>
      </c>
      <c r="S16" s="227">
        <v>22.43</v>
      </c>
      <c r="T16" s="227">
        <v>36.409999999999997</v>
      </c>
      <c r="U16" s="233">
        <f t="shared" si="5"/>
        <v>34646.563965765796</v>
      </c>
      <c r="V16" s="233">
        <f t="shared" si="1"/>
        <v>55063.289159877771</v>
      </c>
      <c r="W16" s="233">
        <f t="shared" si="2"/>
        <v>69409.132051952649</v>
      </c>
      <c r="X16" s="233">
        <f t="shared" si="3"/>
        <v>86732.414034835543</v>
      </c>
      <c r="Y16" s="233">
        <f t="shared" si="4"/>
        <v>140790.33415106387</v>
      </c>
      <c r="Z16" s="58">
        <f t="shared" si="6"/>
        <v>44854.926562821784</v>
      </c>
      <c r="AA16" s="58">
        <f t="shared" si="7"/>
        <v>69409.132051952649</v>
      </c>
      <c r="AB16" s="58">
        <f t="shared" si="8"/>
        <v>140790.33415106387</v>
      </c>
    </row>
    <row r="17" spans="1:28">
      <c r="A17" s="52" t="s">
        <v>352</v>
      </c>
      <c r="B17" s="52" t="s">
        <v>353</v>
      </c>
      <c r="C17" s="52" t="s">
        <v>119</v>
      </c>
      <c r="D17" s="52" t="s">
        <v>325</v>
      </c>
      <c r="E17" s="225">
        <v>19676049075.701092</v>
      </c>
      <c r="F17" s="52">
        <v>2023</v>
      </c>
      <c r="G17" s="57" t="s">
        <v>1763</v>
      </c>
      <c r="H17" s="226">
        <v>36.052999999999997</v>
      </c>
      <c r="I17" s="52">
        <v>2024</v>
      </c>
      <c r="J17" s="228">
        <v>5538382</v>
      </c>
      <c r="K17" s="52">
        <v>2022</v>
      </c>
      <c r="L17" s="52" t="s">
        <v>1769</v>
      </c>
      <c r="M17" s="228">
        <v>14111034</v>
      </c>
      <c r="N17" s="52">
        <v>2023</v>
      </c>
      <c r="O17" s="44">
        <f t="shared" si="0"/>
        <v>0.39248590854504356</v>
      </c>
      <c r="P17" s="227">
        <v>3.78</v>
      </c>
      <c r="Q17" s="227">
        <v>7.51</v>
      </c>
      <c r="R17" s="227">
        <v>11.77</v>
      </c>
      <c r="S17" s="227">
        <v>18.809999999999999</v>
      </c>
      <c r="T17" s="227">
        <v>58.14</v>
      </c>
      <c r="U17" s="233">
        <f t="shared" si="5"/>
        <v>242.07960536969372</v>
      </c>
      <c r="V17" s="233">
        <f t="shared" si="1"/>
        <v>480.95709955724863</v>
      </c>
      <c r="W17" s="233">
        <f t="shared" si="2"/>
        <v>753.77697227547492</v>
      </c>
      <c r="X17" s="233">
        <f t="shared" si="3"/>
        <v>1204.6342267206185</v>
      </c>
      <c r="Y17" s="233">
        <f t="shared" si="4"/>
        <v>3723.4148825910033</v>
      </c>
      <c r="Z17" s="58">
        <f t="shared" si="6"/>
        <v>361.51835246347116</v>
      </c>
      <c r="AA17" s="58">
        <f t="shared" si="7"/>
        <v>753.77697227547492</v>
      </c>
      <c r="AB17" s="58">
        <f t="shared" si="8"/>
        <v>3723.4148825910033</v>
      </c>
    </row>
    <row r="18" spans="1:28">
      <c r="A18" s="52" t="s">
        <v>368</v>
      </c>
      <c r="B18" s="52" t="s">
        <v>369</v>
      </c>
      <c r="C18" s="52" t="s">
        <v>119</v>
      </c>
      <c r="D18" s="52" t="s">
        <v>319</v>
      </c>
      <c r="E18" s="225">
        <v>20324617844.526535</v>
      </c>
      <c r="F18" s="52">
        <v>2023</v>
      </c>
      <c r="G18" s="57" t="s">
        <v>1763</v>
      </c>
      <c r="H18" s="226">
        <v>52.753999999999998</v>
      </c>
      <c r="I18" s="52">
        <v>2024</v>
      </c>
      <c r="J18" s="228">
        <v>5590724</v>
      </c>
      <c r="K18" s="52">
        <v>2023</v>
      </c>
      <c r="L18" s="52" t="s">
        <v>1769</v>
      </c>
      <c r="M18" s="228">
        <v>23025776</v>
      </c>
      <c r="N18" s="52">
        <v>2023</v>
      </c>
      <c r="O18" s="44">
        <f t="shared" si="0"/>
        <v>0.24280284842517361</v>
      </c>
      <c r="P18" s="227">
        <v>1.1399999999999999</v>
      </c>
      <c r="Q18" s="227">
        <v>2.27</v>
      </c>
      <c r="R18" s="227">
        <v>4.88</v>
      </c>
      <c r="S18" s="227">
        <v>13.42</v>
      </c>
      <c r="T18" s="227">
        <v>78.28</v>
      </c>
      <c r="U18" s="233">
        <f t="shared" si="5"/>
        <v>109.31621506784936</v>
      </c>
      <c r="V18" s="233">
        <f t="shared" si="1"/>
        <v>217.67351596843693</v>
      </c>
      <c r="W18" s="233">
        <f t="shared" si="2"/>
        <v>467.95011362377619</v>
      </c>
      <c r="X18" s="233">
        <f t="shared" si="3"/>
        <v>1286.8628124653844</v>
      </c>
      <c r="Y18" s="233">
        <f t="shared" si="4"/>
        <v>7506.3801013256571</v>
      </c>
      <c r="Z18" s="58">
        <f t="shared" si="6"/>
        <v>163.49486551814314</v>
      </c>
      <c r="AA18" s="58">
        <f t="shared" si="7"/>
        <v>467.95011362377619</v>
      </c>
      <c r="AB18" s="58">
        <f t="shared" si="8"/>
        <v>7506.3801013256571</v>
      </c>
    </row>
    <row r="19" spans="1:28">
      <c r="A19" s="52" t="s">
        <v>342</v>
      </c>
      <c r="B19" s="52" t="s">
        <v>343</v>
      </c>
      <c r="C19" s="52" t="s">
        <v>118</v>
      </c>
      <c r="D19" s="52" t="s">
        <v>325</v>
      </c>
      <c r="E19" s="225">
        <v>437415331040.99432</v>
      </c>
      <c r="F19" s="52">
        <v>2023</v>
      </c>
      <c r="G19" s="57" t="s">
        <v>1763</v>
      </c>
      <c r="H19" s="226">
        <v>43.070999999999998</v>
      </c>
      <c r="I19" s="52">
        <v>2024</v>
      </c>
      <c r="J19" s="228">
        <v>73853424</v>
      </c>
      <c r="K19" s="52">
        <v>2022</v>
      </c>
      <c r="L19" s="52" t="s">
        <v>1769</v>
      </c>
      <c r="M19" s="228">
        <v>171466990</v>
      </c>
      <c r="N19" s="52">
        <v>2023</v>
      </c>
      <c r="O19" s="44">
        <f t="shared" si="0"/>
        <v>0.43071511315384964</v>
      </c>
      <c r="P19" s="227">
        <v>4.0999999999999996</v>
      </c>
      <c r="Q19" s="227">
        <v>8.92</v>
      </c>
      <c r="R19" s="227">
        <v>13.34</v>
      </c>
      <c r="S19" s="227">
        <v>19.97</v>
      </c>
      <c r="T19" s="227">
        <v>53.67</v>
      </c>
      <c r="U19" s="233">
        <f t="shared" si="5"/>
        <v>522.95242577644956</v>
      </c>
      <c r="V19" s="233">
        <f t="shared" si="1"/>
        <v>1137.7403994941296</v>
      </c>
      <c r="W19" s="233">
        <f t="shared" si="2"/>
        <v>1701.5086243555702</v>
      </c>
      <c r="X19" s="233">
        <f t="shared" si="3"/>
        <v>2547.1609616477317</v>
      </c>
      <c r="Y19" s="233">
        <f t="shared" si="4"/>
        <v>6845.5748027858672</v>
      </c>
      <c r="Z19" s="58">
        <f t="shared" si="6"/>
        <v>830.34641263528965</v>
      </c>
      <c r="AA19" s="58">
        <f t="shared" si="7"/>
        <v>1701.5086243555702</v>
      </c>
      <c r="AB19" s="58">
        <f t="shared" si="8"/>
        <v>6845.5748027858672</v>
      </c>
    </row>
    <row r="20" spans="1:28">
      <c r="A20" s="52" t="s">
        <v>366</v>
      </c>
      <c r="B20" s="52" t="s">
        <v>367</v>
      </c>
      <c r="C20" s="52" t="s">
        <v>115</v>
      </c>
      <c r="D20" s="52" t="s">
        <v>322</v>
      </c>
      <c r="E20" s="225">
        <v>102407653020.6062</v>
      </c>
      <c r="F20" s="52">
        <v>2023</v>
      </c>
      <c r="G20" s="57" t="s">
        <v>1763</v>
      </c>
      <c r="H20" s="226">
        <v>50.46</v>
      </c>
      <c r="I20" s="52">
        <v>2024</v>
      </c>
      <c r="J20" s="228">
        <v>3064257</v>
      </c>
      <c r="K20" s="52">
        <v>2023</v>
      </c>
      <c r="L20" s="52" t="s">
        <v>1769</v>
      </c>
      <c r="M20" s="228">
        <v>6446596</v>
      </c>
      <c r="N20" s="52">
        <v>2023</v>
      </c>
      <c r="O20" s="44">
        <f t="shared" si="0"/>
        <v>0.4753294606952258</v>
      </c>
      <c r="P20" s="227">
        <v>5.68</v>
      </c>
      <c r="Q20" s="227">
        <v>11.02</v>
      </c>
      <c r="R20" s="227">
        <v>15.22</v>
      </c>
      <c r="S20" s="227">
        <v>21.41</v>
      </c>
      <c r="T20" s="227">
        <v>46.67</v>
      </c>
      <c r="U20" s="233">
        <f t="shared" si="5"/>
        <v>4789.3084969153051</v>
      </c>
      <c r="V20" s="233">
        <f t="shared" si="1"/>
        <v>9291.9330345082126</v>
      </c>
      <c r="W20" s="233">
        <f t="shared" si="2"/>
        <v>12833.323120255447</v>
      </c>
      <c r="X20" s="233">
        <f t="shared" si="3"/>
        <v>18052.657556154347</v>
      </c>
      <c r="Y20" s="233">
        <f t="shared" si="4"/>
        <v>39351.589357576981</v>
      </c>
      <c r="Z20" s="58">
        <f t="shared" si="6"/>
        <v>7040.6207657117593</v>
      </c>
      <c r="AA20" s="58">
        <f t="shared" si="7"/>
        <v>12833.323120255447</v>
      </c>
      <c r="AB20" s="58">
        <f t="shared" si="8"/>
        <v>39351.589357576981</v>
      </c>
    </row>
    <row r="21" spans="1:28">
      <c r="A21" s="52" t="s">
        <v>690</v>
      </c>
      <c r="B21" s="52" t="s">
        <v>691</v>
      </c>
      <c r="C21" s="52" t="s">
        <v>117</v>
      </c>
      <c r="D21" s="52" t="s">
        <v>121</v>
      </c>
      <c r="E21" s="225">
        <v>46079867021.276596</v>
      </c>
      <c r="F21" s="52">
        <v>2023</v>
      </c>
      <c r="G21" s="57" t="s">
        <v>1763</v>
      </c>
      <c r="H21" s="226">
        <v>29.992999999999999</v>
      </c>
      <c r="I21" s="52">
        <v>2024</v>
      </c>
      <c r="J21" s="228">
        <v>776565</v>
      </c>
      <c r="K21" s="52">
        <v>2015</v>
      </c>
      <c r="L21" s="52" t="s">
        <v>1769</v>
      </c>
      <c r="M21" s="228">
        <v>1577059</v>
      </c>
      <c r="N21" s="52">
        <v>2023</v>
      </c>
      <c r="O21" s="44">
        <f t="shared" si="0"/>
        <v>0.49241341002460909</v>
      </c>
      <c r="P21" s="227">
        <v>6.74</v>
      </c>
      <c r="Q21" s="227">
        <v>11.69</v>
      </c>
      <c r="R21" s="227">
        <v>16.84</v>
      </c>
      <c r="S21" s="227">
        <v>23.33</v>
      </c>
      <c r="T21" s="227">
        <v>41.4</v>
      </c>
      <c r="U21" s="233">
        <f t="shared" si="5"/>
        <v>5997.6789216460074</v>
      </c>
      <c r="V21" s="233">
        <f t="shared" si="1"/>
        <v>10402.502462024007</v>
      </c>
      <c r="W21" s="233">
        <f t="shared" si="2"/>
        <v>14985.298670700113</v>
      </c>
      <c r="X21" s="233">
        <f t="shared" si="3"/>
        <v>20760.511756973494</v>
      </c>
      <c r="Y21" s="233">
        <f t="shared" si="4"/>
        <v>36840.342337706927</v>
      </c>
      <c r="Z21" s="58">
        <f t="shared" si="6"/>
        <v>8200.0906918350083</v>
      </c>
      <c r="AA21" s="58">
        <f t="shared" si="7"/>
        <v>14985.298670700113</v>
      </c>
      <c r="AB21" s="58">
        <f t="shared" si="8"/>
        <v>36840.342337706927</v>
      </c>
    </row>
    <row r="22" spans="1:28">
      <c r="A22" s="52" t="s">
        <v>340</v>
      </c>
      <c r="B22" s="52" t="s">
        <v>341</v>
      </c>
      <c r="C22" s="52" t="s">
        <v>116</v>
      </c>
      <c r="D22" s="52" t="s">
        <v>121</v>
      </c>
      <c r="E22" s="225">
        <v>14338500000</v>
      </c>
      <c r="F22" s="52">
        <v>2023</v>
      </c>
      <c r="G22" s="57" t="s">
        <v>1763</v>
      </c>
      <c r="H22" s="226">
        <v>37.548999999999999</v>
      </c>
      <c r="I22" s="52">
        <v>2024</v>
      </c>
      <c r="J22" s="228">
        <v>206636</v>
      </c>
      <c r="K22" s="52">
        <v>2023</v>
      </c>
      <c r="L22" s="52" t="s">
        <v>1769</v>
      </c>
      <c r="M22" s="228">
        <v>399440</v>
      </c>
      <c r="N22" s="52">
        <v>2023</v>
      </c>
      <c r="O22" s="44">
        <f t="shared" si="0"/>
        <v>0.5173142399359103</v>
      </c>
      <c r="P22" s="227">
        <v>3.54</v>
      </c>
      <c r="Q22" s="227">
        <v>7.99</v>
      </c>
      <c r="R22" s="227">
        <v>13.15</v>
      </c>
      <c r="S22" s="227">
        <v>20.9</v>
      </c>
      <c r="T22" s="227">
        <v>54.42</v>
      </c>
      <c r="U22" s="233">
        <f t="shared" si="5"/>
        <v>4611.7884376633301</v>
      </c>
      <c r="V22" s="233">
        <f t="shared" si="1"/>
        <v>10409.093112127121</v>
      </c>
      <c r="W22" s="233">
        <f t="shared" si="2"/>
        <v>17131.361004314345</v>
      </c>
      <c r="X22" s="233">
        <f t="shared" si="3"/>
        <v>27227.790493549041</v>
      </c>
      <c r="Y22" s="233">
        <f t="shared" si="4"/>
        <v>70896.476490858302</v>
      </c>
      <c r="Z22" s="58">
        <f t="shared" si="6"/>
        <v>7510.4407748952253</v>
      </c>
      <c r="AA22" s="58">
        <f t="shared" si="7"/>
        <v>17131.361004314345</v>
      </c>
      <c r="AB22" s="58">
        <f t="shared" si="8"/>
        <v>70896.476490858302</v>
      </c>
    </row>
    <row r="23" spans="1:28">
      <c r="A23" s="52" t="s">
        <v>358</v>
      </c>
      <c r="B23" s="52" t="s">
        <v>359</v>
      </c>
      <c r="C23" s="52" t="s">
        <v>115</v>
      </c>
      <c r="D23" s="52" t="s">
        <v>322</v>
      </c>
      <c r="E23" s="225">
        <v>27514782476.040558</v>
      </c>
      <c r="F23" s="52">
        <v>2023</v>
      </c>
      <c r="G23" s="57" t="s">
        <v>1763</v>
      </c>
      <c r="H23" s="226">
        <v>53.859000000000002</v>
      </c>
      <c r="I23" s="52">
        <v>2024</v>
      </c>
      <c r="J23" s="228">
        <v>1500373</v>
      </c>
      <c r="K23" s="52">
        <v>2023</v>
      </c>
      <c r="L23" s="52" t="s">
        <v>1769</v>
      </c>
      <c r="M23" s="228">
        <v>3185073</v>
      </c>
      <c r="N23" s="52">
        <v>2023</v>
      </c>
      <c r="O23" s="44">
        <f t="shared" si="0"/>
        <v>0.47106392851906376</v>
      </c>
      <c r="P23" s="227">
        <v>6.2</v>
      </c>
      <c r="Q23" s="227">
        <v>12.04</v>
      </c>
      <c r="R23" s="227">
        <v>16.91</v>
      </c>
      <c r="S23" s="227">
        <v>23.39</v>
      </c>
      <c r="T23" s="227">
        <v>41.46</v>
      </c>
      <c r="U23" s="233">
        <f t="shared" si="5"/>
        <v>3061.8705315737566</v>
      </c>
      <c r="V23" s="233">
        <f t="shared" si="1"/>
        <v>5945.9550322819396</v>
      </c>
      <c r="W23" s="233">
        <f t="shared" si="2"/>
        <v>8351.0049498245535</v>
      </c>
      <c r="X23" s="233">
        <f t="shared" si="3"/>
        <v>11551.153505404865</v>
      </c>
      <c r="Y23" s="233">
        <f t="shared" si="4"/>
        <v>20475.024554685151</v>
      </c>
      <c r="Z23" s="58">
        <f t="shared" si="6"/>
        <v>4503.9127819278483</v>
      </c>
      <c r="AA23" s="58">
        <f t="shared" si="7"/>
        <v>8351.0049498245535</v>
      </c>
      <c r="AB23" s="58">
        <f t="shared" si="8"/>
        <v>20475.024554685151</v>
      </c>
    </row>
    <row r="24" spans="1:28">
      <c r="A24" s="52" t="s">
        <v>346</v>
      </c>
      <c r="B24" s="52" t="s">
        <v>347</v>
      </c>
      <c r="C24" s="52" t="s">
        <v>115</v>
      </c>
      <c r="D24" s="52" t="s">
        <v>322</v>
      </c>
      <c r="E24" s="225">
        <v>71857382745.606598</v>
      </c>
      <c r="F24" s="52">
        <v>2023</v>
      </c>
      <c r="G24" s="57" t="s">
        <v>1763</v>
      </c>
      <c r="H24" s="226">
        <v>49.482999999999997</v>
      </c>
      <c r="I24" s="52">
        <v>2024</v>
      </c>
      <c r="J24" s="228">
        <v>4972028</v>
      </c>
      <c r="K24" s="52">
        <v>2023</v>
      </c>
      <c r="L24" s="52" t="s">
        <v>1769</v>
      </c>
      <c r="M24" s="228">
        <v>9178298</v>
      </c>
      <c r="N24" s="52">
        <v>2023</v>
      </c>
      <c r="O24" s="44">
        <f t="shared" si="0"/>
        <v>0.5417156862851914</v>
      </c>
      <c r="P24" s="227">
        <v>8.58</v>
      </c>
      <c r="Q24" s="227">
        <v>13.37</v>
      </c>
      <c r="R24" s="227">
        <v>17.52</v>
      </c>
      <c r="S24" s="227">
        <v>22.9</v>
      </c>
      <c r="T24" s="227">
        <v>37.64</v>
      </c>
      <c r="U24" s="233">
        <f t="shared" si="5"/>
        <v>3067.9702435343588</v>
      </c>
      <c r="V24" s="233">
        <f t="shared" si="1"/>
        <v>4780.7415100296475</v>
      </c>
      <c r="W24" s="233">
        <f t="shared" si="2"/>
        <v>6264.6665112729561</v>
      </c>
      <c r="X24" s="233">
        <f t="shared" si="3"/>
        <v>8188.405428547414</v>
      </c>
      <c r="Y24" s="233">
        <f t="shared" si="4"/>
        <v>13459.020975132082</v>
      </c>
      <c r="Z24" s="58">
        <f t="shared" si="6"/>
        <v>3924.3558767820032</v>
      </c>
      <c r="AA24" s="58">
        <f t="shared" si="7"/>
        <v>6264.6665112729561</v>
      </c>
      <c r="AB24" s="58">
        <f t="shared" si="8"/>
        <v>13459.020975132082</v>
      </c>
    </row>
    <row r="25" spans="1:28">
      <c r="A25" s="52" t="s">
        <v>350</v>
      </c>
      <c r="B25" s="52" t="s">
        <v>351</v>
      </c>
      <c r="C25" s="52" t="s">
        <v>116</v>
      </c>
      <c r="D25" s="52" t="s">
        <v>322</v>
      </c>
      <c r="E25" s="225">
        <v>3066850000</v>
      </c>
      <c r="F25" s="52">
        <v>2023</v>
      </c>
      <c r="G25" s="57" t="s">
        <v>1763</v>
      </c>
      <c r="H25" s="226">
        <v>47.198</v>
      </c>
      <c r="I25" s="52">
        <v>2024</v>
      </c>
      <c r="J25" s="228">
        <v>182805</v>
      </c>
      <c r="K25" s="52">
        <v>2019</v>
      </c>
      <c r="L25" s="52" t="s">
        <v>1769</v>
      </c>
      <c r="M25" s="228">
        <v>411106</v>
      </c>
      <c r="N25" s="52">
        <v>2023</v>
      </c>
      <c r="O25" s="44">
        <f t="shared" si="0"/>
        <v>0.44466633909502656</v>
      </c>
      <c r="P25" s="227">
        <v>3.21</v>
      </c>
      <c r="Q25" s="227">
        <v>7.69</v>
      </c>
      <c r="R25" s="227">
        <v>12</v>
      </c>
      <c r="S25" s="227">
        <v>19.41</v>
      </c>
      <c r="T25" s="227">
        <v>57.69</v>
      </c>
      <c r="U25" s="233">
        <f t="shared" si="5"/>
        <v>1270.8757638549271</v>
      </c>
      <c r="V25" s="233">
        <f t="shared" si="1"/>
        <v>3044.5590729110259</v>
      </c>
      <c r="W25" s="233">
        <f t="shared" si="2"/>
        <v>4750.9374349716909</v>
      </c>
      <c r="X25" s="233">
        <f t="shared" si="3"/>
        <v>7684.6413010667111</v>
      </c>
      <c r="Y25" s="233">
        <f t="shared" si="4"/>
        <v>22840.131718626406</v>
      </c>
      <c r="Z25" s="58">
        <f t="shared" si="6"/>
        <v>2157.7174183829766</v>
      </c>
      <c r="AA25" s="58">
        <f t="shared" si="7"/>
        <v>4750.9374349716909</v>
      </c>
      <c r="AB25" s="58">
        <f t="shared" si="8"/>
        <v>22840.131718626406</v>
      </c>
    </row>
    <row r="26" spans="1:28">
      <c r="A26" s="52" t="s">
        <v>692</v>
      </c>
      <c r="B26" s="52" t="s">
        <v>693</v>
      </c>
      <c r="C26" s="52" t="s">
        <v>120</v>
      </c>
      <c r="D26" s="52" t="s">
        <v>121</v>
      </c>
      <c r="E26" s="225">
        <v>8141700000</v>
      </c>
      <c r="F26" s="52">
        <v>2023</v>
      </c>
      <c r="G26" s="57" t="s">
        <v>1763</v>
      </c>
      <c r="H26" s="226">
        <v>57.7</v>
      </c>
      <c r="I26" s="52">
        <v>2024</v>
      </c>
      <c r="J26" s="228">
        <v>38963</v>
      </c>
      <c r="K26" s="52">
        <v>2014</v>
      </c>
      <c r="L26" s="52" t="s">
        <v>1769</v>
      </c>
      <c r="M26" s="228">
        <v>64698</v>
      </c>
      <c r="N26" s="52">
        <v>2023</v>
      </c>
      <c r="O26" s="44">
        <f t="shared" si="0"/>
        <v>0.60222881696497577</v>
      </c>
      <c r="P26" s="227">
        <v>5.36</v>
      </c>
      <c r="Q26" s="227">
        <v>10.42</v>
      </c>
      <c r="R26" s="227">
        <v>15.38</v>
      </c>
      <c r="S26" s="227">
        <v>22.53</v>
      </c>
      <c r="T26" s="227">
        <v>46.3</v>
      </c>
      <c r="U26" s="233">
        <f t="shared" si="5"/>
        <v>32312.704904653136</v>
      </c>
      <c r="V26" s="233">
        <f t="shared" si="1"/>
        <v>62816.862893001053</v>
      </c>
      <c r="W26" s="233">
        <f t="shared" si="2"/>
        <v>92718.171909247249</v>
      </c>
      <c r="X26" s="233">
        <f t="shared" si="3"/>
        <v>135821.87341452148</v>
      </c>
      <c r="Y26" s="233">
        <f t="shared" si="4"/>
        <v>279119.07408310444</v>
      </c>
      <c r="Z26" s="58">
        <f t="shared" si="6"/>
        <v>47564.783898827096</v>
      </c>
      <c r="AA26" s="58">
        <f t="shared" si="7"/>
        <v>92718.171909247249</v>
      </c>
      <c r="AB26" s="58">
        <f t="shared" si="8"/>
        <v>279119.07408310444</v>
      </c>
    </row>
    <row r="27" spans="1:28">
      <c r="A27" s="52" t="s">
        <v>356</v>
      </c>
      <c r="B27" s="52" t="s">
        <v>357</v>
      </c>
      <c r="C27" s="52" t="s">
        <v>116</v>
      </c>
      <c r="D27" s="52" t="s">
        <v>325</v>
      </c>
      <c r="E27" s="225">
        <v>45135398008.816635</v>
      </c>
      <c r="F27" s="52">
        <v>2023</v>
      </c>
      <c r="G27" s="57" t="s">
        <v>1763</v>
      </c>
      <c r="H27" s="226">
        <v>56.207000000000001</v>
      </c>
      <c r="I27" s="52">
        <v>2024</v>
      </c>
      <c r="J27" s="228">
        <v>6786237</v>
      </c>
      <c r="K27" s="52">
        <v>2023</v>
      </c>
      <c r="L27" s="52" t="s">
        <v>1769</v>
      </c>
      <c r="M27" s="228">
        <v>12244159</v>
      </c>
      <c r="N27" s="52">
        <v>2023</v>
      </c>
      <c r="O27" s="44">
        <f t="shared" si="0"/>
        <v>0.55424280262940073</v>
      </c>
      <c r="P27" s="227">
        <v>4.13</v>
      </c>
      <c r="Q27" s="227">
        <v>9.4499999999999993</v>
      </c>
      <c r="R27" s="227">
        <v>14.49</v>
      </c>
      <c r="S27" s="227">
        <v>22.33</v>
      </c>
      <c r="T27" s="227">
        <v>49.6</v>
      </c>
      <c r="U27" s="233">
        <f t="shared" si="5"/>
        <v>771.96696450410036</v>
      </c>
      <c r="V27" s="233">
        <f t="shared" si="1"/>
        <v>1766.365088272094</v>
      </c>
      <c r="W27" s="233">
        <f t="shared" si="2"/>
        <v>2708.4264686838778</v>
      </c>
      <c r="X27" s="233">
        <f t="shared" si="3"/>
        <v>4173.8552826577634</v>
      </c>
      <c r="Y27" s="233">
        <f t="shared" si="4"/>
        <v>9271.0802516715212</v>
      </c>
      <c r="Z27" s="58">
        <f t="shared" si="6"/>
        <v>1269.1660263880972</v>
      </c>
      <c r="AA27" s="58">
        <f t="shared" si="7"/>
        <v>2708.4264686838778</v>
      </c>
      <c r="AB27" s="58">
        <f t="shared" si="8"/>
        <v>9271.0802516715212</v>
      </c>
    </row>
    <row r="28" spans="1:28">
      <c r="A28" s="52" t="s">
        <v>362</v>
      </c>
      <c r="B28" s="52" t="s">
        <v>363</v>
      </c>
      <c r="C28" s="52" t="s">
        <v>116</v>
      </c>
      <c r="D28" s="52" t="s">
        <v>322</v>
      </c>
      <c r="E28" s="225">
        <v>2173665655937.2737</v>
      </c>
      <c r="F28" s="52">
        <v>2023</v>
      </c>
      <c r="G28" s="57" t="s">
        <v>1763</v>
      </c>
      <c r="H28" s="226">
        <v>59.73</v>
      </c>
      <c r="I28" s="52">
        <v>2024</v>
      </c>
      <c r="J28" s="228">
        <v>109563154</v>
      </c>
      <c r="K28" s="52">
        <v>2024</v>
      </c>
      <c r="L28" s="52" t="s">
        <v>1769</v>
      </c>
      <c r="M28" s="228">
        <v>211140729</v>
      </c>
      <c r="N28" s="52">
        <v>2023</v>
      </c>
      <c r="O28" s="44">
        <f t="shared" si="0"/>
        <v>0.51891056035901062</v>
      </c>
      <c r="P28" s="227">
        <v>3.15</v>
      </c>
      <c r="Q28" s="227">
        <v>8.44</v>
      </c>
      <c r="R28" s="227">
        <v>13.89</v>
      </c>
      <c r="S28" s="227">
        <v>20.51</v>
      </c>
      <c r="T28" s="227">
        <v>54.01</v>
      </c>
      <c r="U28" s="233">
        <f t="shared" si="5"/>
        <v>1866.385237192834</v>
      </c>
      <c r="V28" s="233">
        <f t="shared" si="1"/>
        <v>5000.72742917699</v>
      </c>
      <c r="W28" s="233">
        <f t="shared" si="2"/>
        <v>8229.870141145544</v>
      </c>
      <c r="X28" s="233">
        <f t="shared" si="3"/>
        <v>12152.241655500009</v>
      </c>
      <c r="Y28" s="233">
        <f t="shared" si="4"/>
        <v>32001.100527233331</v>
      </c>
      <c r="Z28" s="58">
        <f t="shared" si="6"/>
        <v>3433.5563331849121</v>
      </c>
      <c r="AA28" s="58">
        <f t="shared" si="7"/>
        <v>8229.870141145544</v>
      </c>
      <c r="AB28" s="58">
        <f t="shared" si="8"/>
        <v>32001.100527233331</v>
      </c>
    </row>
    <row r="29" spans="1:28">
      <c r="A29" s="52" t="s">
        <v>344</v>
      </c>
      <c r="B29" s="52" t="s">
        <v>345</v>
      </c>
      <c r="C29" s="52" t="s">
        <v>116</v>
      </c>
      <c r="D29" s="52" t="s">
        <v>121</v>
      </c>
      <c r="E29" s="225">
        <v>6720733200</v>
      </c>
      <c r="F29" s="52">
        <v>2023</v>
      </c>
      <c r="G29" s="57" t="s">
        <v>1763</v>
      </c>
      <c r="H29" s="226">
        <v>56.814999999999998</v>
      </c>
      <c r="I29" s="52">
        <v>2024</v>
      </c>
      <c r="J29" s="228">
        <v>132509</v>
      </c>
      <c r="K29" s="52">
        <v>2023</v>
      </c>
      <c r="L29" s="52" t="s">
        <v>1769</v>
      </c>
      <c r="M29" s="228">
        <v>282336</v>
      </c>
      <c r="N29" s="52">
        <v>2023</v>
      </c>
      <c r="O29" s="44">
        <f t="shared" si="0"/>
        <v>0.46933086818542447</v>
      </c>
      <c r="P29" s="227">
        <v>2.42</v>
      </c>
      <c r="Q29" s="227">
        <v>6.9</v>
      </c>
      <c r="R29" s="227">
        <v>11.41</v>
      </c>
      <c r="S29" s="227">
        <v>19.03</v>
      </c>
      <c r="T29" s="227">
        <v>60.24</v>
      </c>
      <c r="U29" s="233">
        <f t="shared" si="5"/>
        <v>3486.7407698886859</v>
      </c>
      <c r="V29" s="233">
        <f t="shared" si="1"/>
        <v>9941.5336000958414</v>
      </c>
      <c r="W29" s="233">
        <f t="shared" si="2"/>
        <v>16439.550489433845</v>
      </c>
      <c r="X29" s="233">
        <f t="shared" si="3"/>
        <v>27418.461508670127</v>
      </c>
      <c r="Y29" s="233">
        <f t="shared" si="4"/>
        <v>86793.910734749777</v>
      </c>
      <c r="Z29" s="58">
        <f t="shared" si="6"/>
        <v>6714.1371849922634</v>
      </c>
      <c r="AA29" s="58">
        <f t="shared" si="7"/>
        <v>16439.550489433845</v>
      </c>
      <c r="AB29" s="58">
        <f t="shared" si="8"/>
        <v>86793.910734749777</v>
      </c>
    </row>
    <row r="30" spans="1:28">
      <c r="A30" s="52" t="s">
        <v>364</v>
      </c>
      <c r="B30" s="52" t="s">
        <v>365</v>
      </c>
      <c r="C30" s="52" t="s">
        <v>114</v>
      </c>
      <c r="D30" s="52" t="s">
        <v>121</v>
      </c>
      <c r="E30" s="225">
        <v>15128292980.863836</v>
      </c>
      <c r="F30" s="52">
        <v>2023</v>
      </c>
      <c r="G30" s="57" t="s">
        <v>1763</v>
      </c>
      <c r="H30" s="226">
        <v>25.667999999999999</v>
      </c>
      <c r="I30" s="52">
        <v>2024</v>
      </c>
      <c r="J30" s="228">
        <v>229477</v>
      </c>
      <c r="K30" s="52">
        <v>2023</v>
      </c>
      <c r="L30" s="52" t="s">
        <v>1769</v>
      </c>
      <c r="M30" s="228">
        <v>458949</v>
      </c>
      <c r="N30" s="52">
        <v>2023</v>
      </c>
      <c r="O30" s="44">
        <f t="shared" si="0"/>
        <v>0.50000544722834128</v>
      </c>
      <c r="P30" s="227">
        <v>8.9499999999999993</v>
      </c>
      <c r="Q30" s="227">
        <v>13.38</v>
      </c>
      <c r="R30" s="227">
        <v>17.68</v>
      </c>
      <c r="S30" s="227">
        <v>22.83</v>
      </c>
      <c r="T30" s="227">
        <v>37.159999999999997</v>
      </c>
      <c r="U30" s="233">
        <f t="shared" si="5"/>
        <v>7572.4398673585501</v>
      </c>
      <c r="V30" s="233">
        <f t="shared" si="1"/>
        <v>11320.586081034346</v>
      </c>
      <c r="W30" s="233">
        <f t="shared" si="2"/>
        <v>14958.741548033426</v>
      </c>
      <c r="X30" s="233">
        <f t="shared" si="3"/>
        <v>19316.067281764877</v>
      </c>
      <c r="Y30" s="233">
        <f t="shared" si="4"/>
        <v>31440.431896205999</v>
      </c>
      <c r="Z30" s="58">
        <f t="shared" si="6"/>
        <v>9446.5129741964483</v>
      </c>
      <c r="AA30" s="58">
        <f t="shared" si="7"/>
        <v>14958.741548033426</v>
      </c>
      <c r="AB30" s="58">
        <f t="shared" si="8"/>
        <v>31440.431896205999</v>
      </c>
    </row>
    <row r="31" spans="1:28">
      <c r="A31" s="52" t="s">
        <v>354</v>
      </c>
      <c r="B31" s="52" t="s">
        <v>355</v>
      </c>
      <c r="C31" s="52" t="s">
        <v>118</v>
      </c>
      <c r="D31" s="52" t="s">
        <v>325</v>
      </c>
      <c r="E31" s="225">
        <v>2898227743.1354527</v>
      </c>
      <c r="F31" s="52">
        <v>2022</v>
      </c>
      <c r="G31" s="57" t="s">
        <v>1763</v>
      </c>
      <c r="H31" s="226">
        <v>44.834000000000003</v>
      </c>
      <c r="I31" s="52">
        <v>2024</v>
      </c>
      <c r="J31" s="228">
        <v>377821</v>
      </c>
      <c r="K31" s="52">
        <v>2023</v>
      </c>
      <c r="L31" s="52" t="s">
        <v>1769</v>
      </c>
      <c r="M31" s="228">
        <v>786385</v>
      </c>
      <c r="N31" s="52">
        <v>2023</v>
      </c>
      <c r="O31" s="44">
        <f t="shared" si="0"/>
        <v>0.48045295879244898</v>
      </c>
      <c r="P31" s="227">
        <v>3.54</v>
      </c>
      <c r="Q31" s="227">
        <v>7.79</v>
      </c>
      <c r="R31" s="227">
        <v>12.64</v>
      </c>
      <c r="S31" s="227">
        <v>21.2</v>
      </c>
      <c r="T31" s="227">
        <v>54.83</v>
      </c>
      <c r="U31" s="233">
        <f t="shared" si="5"/>
        <v>608.73345437456032</v>
      </c>
      <c r="V31" s="233">
        <f t="shared" si="1"/>
        <v>1339.5575168298942</v>
      </c>
      <c r="W31" s="233">
        <f t="shared" si="2"/>
        <v>2173.5567410436283</v>
      </c>
      <c r="X31" s="233">
        <f t="shared" si="3"/>
        <v>3645.5223821301352</v>
      </c>
      <c r="Y31" s="233">
        <f t="shared" si="4"/>
        <v>9428.4901986884597</v>
      </c>
      <c r="Z31" s="58">
        <f t="shared" si="6"/>
        <v>974.14548560222727</v>
      </c>
      <c r="AA31" s="58">
        <f t="shared" si="7"/>
        <v>2173.5567410436283</v>
      </c>
      <c r="AB31" s="58">
        <f t="shared" si="8"/>
        <v>9428.4901986884597</v>
      </c>
    </row>
    <row r="32" spans="1:28">
      <c r="A32" s="52" t="s">
        <v>360</v>
      </c>
      <c r="B32" s="52" t="s">
        <v>361</v>
      </c>
      <c r="C32" s="52" t="s">
        <v>119</v>
      </c>
      <c r="D32" s="52" t="s">
        <v>322</v>
      </c>
      <c r="E32" s="225">
        <v>19396084498.008404</v>
      </c>
      <c r="F32" s="52">
        <v>2023</v>
      </c>
      <c r="G32" s="57" t="s">
        <v>1763</v>
      </c>
      <c r="H32" s="226">
        <v>41.250999999999998</v>
      </c>
      <c r="I32" s="52">
        <v>2024</v>
      </c>
      <c r="J32" s="228">
        <v>1135188</v>
      </c>
      <c r="K32" s="52">
        <v>2023</v>
      </c>
      <c r="L32" s="52" t="s">
        <v>1769</v>
      </c>
      <c r="M32" s="228">
        <v>2480244</v>
      </c>
      <c r="N32" s="52">
        <v>2023</v>
      </c>
      <c r="O32" s="44">
        <f t="shared" si="0"/>
        <v>0.45769206578062482</v>
      </c>
      <c r="P32" s="227">
        <v>2.99</v>
      </c>
      <c r="Q32" s="227">
        <v>5.66</v>
      </c>
      <c r="R32" s="227">
        <v>9.9600000000000009</v>
      </c>
      <c r="S32" s="227">
        <v>19.03</v>
      </c>
      <c r="T32" s="227">
        <v>62.35</v>
      </c>
      <c r="U32" s="233">
        <f t="shared" si="5"/>
        <v>1053.712057415054</v>
      </c>
      <c r="V32" s="233">
        <f t="shared" si="1"/>
        <v>1994.6522558425438</v>
      </c>
      <c r="W32" s="233">
        <f t="shared" si="2"/>
        <v>3510.0241109879389</v>
      </c>
      <c r="X32" s="233">
        <f t="shared" si="3"/>
        <v>6706.4014891667157</v>
      </c>
      <c r="Y32" s="233">
        <f t="shared" si="4"/>
        <v>21972.891899608236</v>
      </c>
      <c r="Z32" s="58">
        <f t="shared" si="6"/>
        <v>1524.182156628799</v>
      </c>
      <c r="AA32" s="58">
        <f t="shared" si="7"/>
        <v>3510.0241109879389</v>
      </c>
      <c r="AB32" s="58">
        <f t="shared" si="8"/>
        <v>21972.891899608236</v>
      </c>
    </row>
    <row r="33" spans="1:28">
      <c r="A33" s="52" t="s">
        <v>380</v>
      </c>
      <c r="B33" s="52" t="s">
        <v>381</v>
      </c>
      <c r="C33" s="52" t="s">
        <v>119</v>
      </c>
      <c r="D33" s="52" t="s">
        <v>319</v>
      </c>
      <c r="E33" s="225">
        <v>2555492085.2483063</v>
      </c>
      <c r="F33" s="52">
        <v>2023</v>
      </c>
      <c r="G33" s="57" t="s">
        <v>1763</v>
      </c>
      <c r="H33" s="226">
        <v>34.536000000000001</v>
      </c>
      <c r="I33" s="52">
        <v>2024</v>
      </c>
      <c r="J33" s="228">
        <v>1849000</v>
      </c>
      <c r="K33" s="52">
        <v>2023</v>
      </c>
      <c r="L33" s="52" t="s">
        <v>1770</v>
      </c>
      <c r="M33" s="228">
        <v>5152421</v>
      </c>
      <c r="N33" s="52">
        <v>2023</v>
      </c>
      <c r="O33" s="44">
        <f t="shared" si="0"/>
        <v>0.35886042697209719</v>
      </c>
      <c r="P33" s="227">
        <v>1.1599999999999999</v>
      </c>
      <c r="Q33" s="227">
        <v>4.78</v>
      </c>
      <c r="R33" s="227">
        <v>8.74</v>
      </c>
      <c r="S33" s="227">
        <v>16.399999999999999</v>
      </c>
      <c r="T33" s="227">
        <v>68.92</v>
      </c>
      <c r="U33" s="233">
        <f t="shared" si="5"/>
        <v>27.68456208791703</v>
      </c>
      <c r="V33" s="233">
        <f t="shared" si="1"/>
        <v>114.07948860365813</v>
      </c>
      <c r="W33" s="233">
        <f t="shared" si="2"/>
        <v>208.58885573137488</v>
      </c>
      <c r="X33" s="233">
        <f t="shared" si="3"/>
        <v>391.40242951882698</v>
      </c>
      <c r="Y33" s="233">
        <f t="shared" si="4"/>
        <v>1644.8448440510706</v>
      </c>
      <c r="Z33" s="58">
        <f t="shared" si="6"/>
        <v>70.882025345787582</v>
      </c>
      <c r="AA33" s="58">
        <f t="shared" si="7"/>
        <v>208.58885573137488</v>
      </c>
      <c r="AB33" s="58">
        <f t="shared" si="8"/>
        <v>1644.8448440510706</v>
      </c>
    </row>
    <row r="34" spans="1:28">
      <c r="A34" s="52" t="s">
        <v>378</v>
      </c>
      <c r="B34" s="52" t="s">
        <v>379</v>
      </c>
      <c r="C34" s="52" t="s">
        <v>120</v>
      </c>
      <c r="D34" s="52" t="s">
        <v>121</v>
      </c>
      <c r="E34" s="225">
        <v>2142470914401.3569</v>
      </c>
      <c r="F34" s="52">
        <v>2023</v>
      </c>
      <c r="G34" s="57" t="s">
        <v>1763</v>
      </c>
      <c r="H34" s="226">
        <v>60.127000000000002</v>
      </c>
      <c r="I34" s="52">
        <v>2024</v>
      </c>
      <c r="J34" s="228">
        <v>21924921</v>
      </c>
      <c r="K34" s="52">
        <v>2024</v>
      </c>
      <c r="L34" s="52" t="s">
        <v>1769</v>
      </c>
      <c r="M34" s="228">
        <v>40097761</v>
      </c>
      <c r="N34" s="52">
        <v>2023</v>
      </c>
      <c r="O34" s="44">
        <f t="shared" si="0"/>
        <v>0.54678666472175341</v>
      </c>
      <c r="P34" s="227">
        <v>7.34</v>
      </c>
      <c r="Q34" s="227">
        <v>12.62</v>
      </c>
      <c r="R34" s="227">
        <v>17</v>
      </c>
      <c r="S34" s="227">
        <v>22.98</v>
      </c>
      <c r="T34" s="227">
        <v>40.07</v>
      </c>
      <c r="U34" s="233">
        <f t="shared" si="5"/>
        <v>21563.164566005598</v>
      </c>
      <c r="V34" s="233">
        <f t="shared" si="1"/>
        <v>37074.541801497362</v>
      </c>
      <c r="W34" s="233">
        <f t="shared" si="2"/>
        <v>49941.934280939407</v>
      </c>
      <c r="X34" s="233">
        <f t="shared" si="3"/>
        <v>67509.74410446985</v>
      </c>
      <c r="Y34" s="233">
        <f t="shared" si="4"/>
        <v>117716.07686101423</v>
      </c>
      <c r="Z34" s="58">
        <f t="shared" si="6"/>
        <v>29318.853183751482</v>
      </c>
      <c r="AA34" s="58">
        <f t="shared" si="7"/>
        <v>49941.934280939407</v>
      </c>
      <c r="AB34" s="58">
        <f t="shared" si="8"/>
        <v>117716.07686101423</v>
      </c>
    </row>
    <row r="35" spans="1:28">
      <c r="A35" s="52" t="s">
        <v>630</v>
      </c>
      <c r="B35" s="52" t="s">
        <v>631</v>
      </c>
      <c r="C35" s="52" t="s">
        <v>115</v>
      </c>
      <c r="D35" s="52" t="s">
        <v>121</v>
      </c>
      <c r="E35" s="225">
        <v>884940402230.40881</v>
      </c>
      <c r="F35" s="52">
        <v>2023</v>
      </c>
      <c r="G35" s="57" t="s">
        <v>1763</v>
      </c>
      <c r="H35" s="226">
        <v>70.646000000000001</v>
      </c>
      <c r="I35" s="52">
        <v>2024</v>
      </c>
      <c r="J35" s="228">
        <v>5052448</v>
      </c>
      <c r="K35" s="52">
        <v>2023</v>
      </c>
      <c r="L35" s="52" t="s">
        <v>1769</v>
      </c>
      <c r="M35" s="228">
        <v>8888093</v>
      </c>
      <c r="N35" s="52">
        <v>2023</v>
      </c>
      <c r="O35" s="44">
        <f t="shared" si="0"/>
        <v>0.56845129770806857</v>
      </c>
      <c r="P35" s="227">
        <v>7.45</v>
      </c>
      <c r="Q35" s="227">
        <v>12.28</v>
      </c>
      <c r="R35" s="227">
        <v>16.760000000000002</v>
      </c>
      <c r="S35" s="227">
        <v>22.48</v>
      </c>
      <c r="T35" s="227">
        <v>41.02</v>
      </c>
      <c r="U35" s="233">
        <f t="shared" si="5"/>
        <v>46092.050075228122</v>
      </c>
      <c r="V35" s="233">
        <f t="shared" si="1"/>
        <v>75974.54696963777</v>
      </c>
      <c r="W35" s="233">
        <f t="shared" si="2"/>
        <v>103691.64553836557</v>
      </c>
      <c r="X35" s="233">
        <f t="shared" si="3"/>
        <v>139080.44103236625</v>
      </c>
      <c r="Y35" s="233">
        <f t="shared" si="4"/>
        <v>253784.6837699138</v>
      </c>
      <c r="Z35" s="58">
        <f t="shared" si="6"/>
        <v>61033.298522432946</v>
      </c>
      <c r="AA35" s="58">
        <f t="shared" si="7"/>
        <v>103691.64553836557</v>
      </c>
      <c r="AB35" s="58">
        <f t="shared" si="8"/>
        <v>253784.6837699138</v>
      </c>
    </row>
    <row r="36" spans="1:28">
      <c r="A36" s="52" t="s">
        <v>742</v>
      </c>
      <c r="B36" s="52" t="s">
        <v>743</v>
      </c>
      <c r="C36" s="52" t="s">
        <v>115</v>
      </c>
      <c r="D36" s="52" t="s">
        <v>121</v>
      </c>
      <c r="E36" s="225">
        <v>12507927144.134245</v>
      </c>
      <c r="F36" s="52">
        <v>2023</v>
      </c>
      <c r="G36" s="57" t="s">
        <v>1763</v>
      </c>
      <c r="H36" s="226">
        <v>55.918999999999997</v>
      </c>
      <c r="I36" s="52">
        <v>2024</v>
      </c>
      <c r="J36" s="228">
        <v>84052.221311990783</v>
      </c>
      <c r="K36" s="52">
        <v>2023</v>
      </c>
      <c r="L36" s="52" t="s">
        <v>1772</v>
      </c>
      <c r="M36" s="228">
        <v>167691</v>
      </c>
      <c r="N36" s="52">
        <v>2023</v>
      </c>
      <c r="O36" s="44">
        <f t="shared" si="0"/>
        <v>0.50123275138195122</v>
      </c>
      <c r="P36" s="227">
        <v>7.9029411764705912</v>
      </c>
      <c r="Q36" s="227">
        <v>13.135882352941175</v>
      </c>
      <c r="R36" s="227">
        <v>17.265588235294121</v>
      </c>
      <c r="S36" s="227">
        <v>22.71970588235294</v>
      </c>
      <c r="T36" s="227">
        <v>38.974117647058833</v>
      </c>
      <c r="U36" s="233">
        <f t="shared" si="5"/>
        <v>32881.702643020362</v>
      </c>
      <c r="V36" s="233">
        <f t="shared" si="1"/>
        <v>54654.358148216401</v>
      </c>
      <c r="W36" s="233">
        <f t="shared" si="2"/>
        <v>71836.791598556913</v>
      </c>
      <c r="X36" s="233">
        <f t="shared" si="3"/>
        <v>94529.694233918592</v>
      </c>
      <c r="Y36" s="233">
        <f t="shared" si="4"/>
        <v>162159.29217089366</v>
      </c>
      <c r="Z36" s="58">
        <f t="shared" si="6"/>
        <v>43768.030395618378</v>
      </c>
      <c r="AA36" s="58">
        <f t="shared" si="7"/>
        <v>71836.791598556913</v>
      </c>
      <c r="AB36" s="58">
        <f t="shared" si="8"/>
        <v>162159.29217089366</v>
      </c>
    </row>
    <row r="37" spans="1:28">
      <c r="A37" s="52" t="s">
        <v>384</v>
      </c>
      <c r="B37" s="52" t="s">
        <v>385</v>
      </c>
      <c r="C37" s="52" t="s">
        <v>116</v>
      </c>
      <c r="D37" s="52" t="s">
        <v>121</v>
      </c>
      <c r="E37" s="225">
        <v>335533331669.21912</v>
      </c>
      <c r="F37" s="52">
        <v>2023</v>
      </c>
      <c r="G37" s="57" t="s">
        <v>1763</v>
      </c>
      <c r="H37" s="226">
        <v>52.621000000000002</v>
      </c>
      <c r="I37" s="52">
        <v>2024</v>
      </c>
      <c r="J37" s="228">
        <v>10209066</v>
      </c>
      <c r="K37" s="52">
        <v>2024</v>
      </c>
      <c r="L37" s="52" t="s">
        <v>1769</v>
      </c>
      <c r="M37" s="228">
        <v>19658835</v>
      </c>
      <c r="N37" s="52">
        <v>2023</v>
      </c>
      <c r="O37" s="44">
        <f t="shared" si="0"/>
        <v>0.51931185138895564</v>
      </c>
      <c r="P37" s="227">
        <v>3.85</v>
      </c>
      <c r="Q37" s="227">
        <v>8.33</v>
      </c>
      <c r="R37" s="227">
        <v>12.57</v>
      </c>
      <c r="S37" s="227">
        <v>19.489999999999998</v>
      </c>
      <c r="T37" s="227">
        <v>55.77</v>
      </c>
      <c r="U37" s="233">
        <f t="shared" si="5"/>
        <v>3329.1969542658958</v>
      </c>
      <c r="V37" s="233">
        <f t="shared" si="1"/>
        <v>7203.1715919571197</v>
      </c>
      <c r="W37" s="233">
        <f t="shared" si="2"/>
        <v>10869.611874057742</v>
      </c>
      <c r="X37" s="233">
        <f t="shared" si="3"/>
        <v>16853.51912692008</v>
      </c>
      <c r="Y37" s="233">
        <f t="shared" si="4"/>
        <v>48225.795880365986</v>
      </c>
      <c r="Z37" s="58">
        <f t="shared" si="6"/>
        <v>5266.1842731115075</v>
      </c>
      <c r="AA37" s="58">
        <f t="shared" si="7"/>
        <v>10869.611874057742</v>
      </c>
      <c r="AB37" s="58">
        <f t="shared" si="8"/>
        <v>48225.795880365986</v>
      </c>
    </row>
    <row r="38" spans="1:28">
      <c r="A38" s="52" t="s">
        <v>386</v>
      </c>
      <c r="B38" s="52" t="s">
        <v>387</v>
      </c>
      <c r="C38" s="52" t="s">
        <v>114</v>
      </c>
      <c r="D38" s="52" t="s">
        <v>322</v>
      </c>
      <c r="E38" s="225">
        <v>17794783039551.957</v>
      </c>
      <c r="F38" s="52">
        <v>2023</v>
      </c>
      <c r="G38" s="57" t="s">
        <v>1763</v>
      </c>
      <c r="H38" s="226">
        <v>51.412999999999997</v>
      </c>
      <c r="I38" s="52">
        <v>2024</v>
      </c>
      <c r="J38" s="228">
        <v>781103000</v>
      </c>
      <c r="K38" s="52">
        <v>2023</v>
      </c>
      <c r="L38" s="52" t="s">
        <v>1770</v>
      </c>
      <c r="M38" s="228">
        <v>1410710000</v>
      </c>
      <c r="N38" s="52">
        <v>2023</v>
      </c>
      <c r="O38" s="44">
        <f t="shared" si="0"/>
        <v>0.55369494793401908</v>
      </c>
      <c r="P38" s="227">
        <v>4.7699999999999996</v>
      </c>
      <c r="Q38" s="227">
        <v>9.2200000000000006</v>
      </c>
      <c r="R38" s="227">
        <v>14.47</v>
      </c>
      <c r="S38" s="227">
        <v>23.15</v>
      </c>
      <c r="T38" s="227">
        <v>48.39</v>
      </c>
      <c r="U38" s="233">
        <f t="shared" si="5"/>
        <v>2793.480994547167</v>
      </c>
      <c r="V38" s="233">
        <f t="shared" si="1"/>
        <v>5399.5586519339377</v>
      </c>
      <c r="W38" s="233">
        <f t="shared" si="2"/>
        <v>8474.1446522216993</v>
      </c>
      <c r="X38" s="233">
        <f t="shared" si="3"/>
        <v>13557.460172697469</v>
      </c>
      <c r="Y38" s="233">
        <f t="shared" si="4"/>
        <v>28338.898391223782</v>
      </c>
      <c r="Z38" s="58">
        <f t="shared" si="6"/>
        <v>4096.5198232405528</v>
      </c>
      <c r="AA38" s="58">
        <f t="shared" si="7"/>
        <v>8474.1446522216993</v>
      </c>
      <c r="AB38" s="58">
        <f t="shared" si="8"/>
        <v>28338.898391223782</v>
      </c>
    </row>
    <row r="39" spans="1:28">
      <c r="A39" s="52" t="s">
        <v>744</v>
      </c>
      <c r="B39" s="52" t="s">
        <v>399</v>
      </c>
      <c r="C39" s="52" t="s">
        <v>119</v>
      </c>
      <c r="D39" s="52" t="s">
        <v>325</v>
      </c>
      <c r="E39" s="225">
        <v>78875489245.053848</v>
      </c>
      <c r="F39" s="52">
        <v>2023</v>
      </c>
      <c r="G39" s="57" t="s">
        <v>1763</v>
      </c>
      <c r="H39" s="226">
        <v>30.681999999999999</v>
      </c>
      <c r="I39" s="52">
        <v>2024</v>
      </c>
      <c r="J39" s="228">
        <v>11859695</v>
      </c>
      <c r="K39" s="52">
        <v>2022</v>
      </c>
      <c r="L39" s="52" t="s">
        <v>1769</v>
      </c>
      <c r="M39" s="228">
        <v>31165654</v>
      </c>
      <c r="N39" s="52">
        <v>2023</v>
      </c>
      <c r="O39" s="44">
        <f t="shared" si="0"/>
        <v>0.38053733767306791</v>
      </c>
      <c r="P39" s="227">
        <v>3.16</v>
      </c>
      <c r="Q39" s="227">
        <v>6.61</v>
      </c>
      <c r="R39" s="227">
        <v>11.08</v>
      </c>
      <c r="S39" s="227">
        <v>18.18</v>
      </c>
      <c r="T39" s="227">
        <v>60.97</v>
      </c>
      <c r="U39" s="233">
        <f t="shared" si="5"/>
        <v>322.4105900199333</v>
      </c>
      <c r="V39" s="233">
        <f t="shared" si="1"/>
        <v>674.40949368093641</v>
      </c>
      <c r="W39" s="233">
        <f t="shared" si="2"/>
        <v>1130.477638424323</v>
      </c>
      <c r="X39" s="233">
        <f t="shared" si="3"/>
        <v>1854.8811792918943</v>
      </c>
      <c r="Y39" s="233">
        <f t="shared" si="4"/>
        <v>6220.6878713656115</v>
      </c>
      <c r="Z39" s="58">
        <f t="shared" si="6"/>
        <v>498.41004185043482</v>
      </c>
      <c r="AA39" s="58">
        <f t="shared" si="7"/>
        <v>1130.477638424323</v>
      </c>
      <c r="AB39" s="58">
        <f t="shared" si="8"/>
        <v>6220.6878713656115</v>
      </c>
    </row>
    <row r="40" spans="1:28">
      <c r="A40" s="52" t="s">
        <v>376</v>
      </c>
      <c r="B40" s="52" t="s">
        <v>377</v>
      </c>
      <c r="C40" s="52" t="s">
        <v>119</v>
      </c>
      <c r="D40" s="52" t="s">
        <v>325</v>
      </c>
      <c r="E40" s="225">
        <v>49279410982.825966</v>
      </c>
      <c r="F40" s="52">
        <v>2023</v>
      </c>
      <c r="G40" s="57" t="s">
        <v>1763</v>
      </c>
      <c r="H40" s="226">
        <v>45.421999999999997</v>
      </c>
      <c r="I40" s="52">
        <v>2024</v>
      </c>
      <c r="J40" s="228">
        <v>9601428</v>
      </c>
      <c r="K40" s="52">
        <v>2021</v>
      </c>
      <c r="L40" s="52" t="s">
        <v>1769</v>
      </c>
      <c r="M40" s="228">
        <v>28372687</v>
      </c>
      <c r="N40" s="52">
        <v>2023</v>
      </c>
      <c r="O40" s="44">
        <f t="shared" si="0"/>
        <v>0.33840390231633682</v>
      </c>
      <c r="P40" s="227">
        <v>1.88</v>
      </c>
      <c r="Q40" s="227">
        <v>5.76</v>
      </c>
      <c r="R40" s="227">
        <v>10.8</v>
      </c>
      <c r="S40" s="227">
        <v>18.86</v>
      </c>
      <c r="T40" s="227">
        <v>62.69</v>
      </c>
      <c r="U40" s="233">
        <f t="shared" si="5"/>
        <v>219.14107373634477</v>
      </c>
      <c r="V40" s="233">
        <f t="shared" si="1"/>
        <v>671.41094931986481</v>
      </c>
      <c r="W40" s="233">
        <f t="shared" si="2"/>
        <v>1258.8955299747465</v>
      </c>
      <c r="X40" s="233">
        <f t="shared" si="3"/>
        <v>2198.404601418863</v>
      </c>
      <c r="Y40" s="233">
        <f t="shared" si="4"/>
        <v>7307.42229389971</v>
      </c>
      <c r="Z40" s="58">
        <f t="shared" si="6"/>
        <v>445.27601152810479</v>
      </c>
      <c r="AA40" s="58">
        <f t="shared" si="7"/>
        <v>1258.8955299747465</v>
      </c>
      <c r="AB40" s="58">
        <f t="shared" si="8"/>
        <v>7307.42229389971</v>
      </c>
    </row>
    <row r="41" spans="1:28">
      <c r="A41" s="52" t="s">
        <v>392</v>
      </c>
      <c r="B41" s="52" t="s">
        <v>393</v>
      </c>
      <c r="C41" s="52" t="s">
        <v>119</v>
      </c>
      <c r="D41" s="52" t="s">
        <v>319</v>
      </c>
      <c r="E41" s="225">
        <v>66383287002.986664</v>
      </c>
      <c r="F41" s="52">
        <v>2023</v>
      </c>
      <c r="G41" s="57" t="s">
        <v>1763</v>
      </c>
      <c r="H41" s="226">
        <v>38.981999999999999</v>
      </c>
      <c r="I41" s="52">
        <v>2024</v>
      </c>
      <c r="J41" s="228">
        <v>31547329</v>
      </c>
      <c r="K41" s="52">
        <v>2020</v>
      </c>
      <c r="L41" s="52" t="s">
        <v>1769</v>
      </c>
      <c r="M41" s="228">
        <v>105789731</v>
      </c>
      <c r="N41" s="52">
        <v>2023</v>
      </c>
      <c r="O41" s="44">
        <f t="shared" si="0"/>
        <v>0.29820785724466964</v>
      </c>
      <c r="P41" s="227">
        <v>2.69</v>
      </c>
      <c r="Q41" s="227">
        <v>6.76</v>
      </c>
      <c r="R41" s="227">
        <v>11.15</v>
      </c>
      <c r="S41" s="227">
        <v>19.41</v>
      </c>
      <c r="T41" s="227">
        <v>60</v>
      </c>
      <c r="U41" s="233">
        <f t="shared" si="5"/>
        <v>110.32719062724209</v>
      </c>
      <c r="V41" s="233">
        <f t="shared" si="1"/>
        <v>277.25346046102476</v>
      </c>
      <c r="W41" s="233">
        <f t="shared" si="2"/>
        <v>457.30415445864293</v>
      </c>
      <c r="X41" s="233">
        <f t="shared" si="3"/>
        <v>796.07835318764637</v>
      </c>
      <c r="Y41" s="233">
        <f t="shared" si="4"/>
        <v>2460.8295307191547</v>
      </c>
      <c r="Z41" s="58">
        <f t="shared" si="6"/>
        <v>193.79032554413342</v>
      </c>
      <c r="AA41" s="58">
        <f t="shared" si="7"/>
        <v>457.30415445864293</v>
      </c>
      <c r="AB41" s="58">
        <f t="shared" si="8"/>
        <v>2460.8295307191547</v>
      </c>
    </row>
    <row r="42" spans="1:28">
      <c r="A42" s="52" t="s">
        <v>394</v>
      </c>
      <c r="B42" s="52" t="s">
        <v>395</v>
      </c>
      <c r="C42" s="52" t="s">
        <v>119</v>
      </c>
      <c r="D42" s="52" t="s">
        <v>325</v>
      </c>
      <c r="E42" s="225">
        <v>15321055822.516701</v>
      </c>
      <c r="F42" s="52">
        <v>2023</v>
      </c>
      <c r="G42" s="57" t="s">
        <v>1763</v>
      </c>
      <c r="H42" s="226">
        <v>43.363999999999997</v>
      </c>
      <c r="I42" s="52">
        <v>2024</v>
      </c>
      <c r="J42" s="228">
        <v>2480000</v>
      </c>
      <c r="K42" s="52">
        <v>2023</v>
      </c>
      <c r="L42" s="52" t="s">
        <v>1770</v>
      </c>
      <c r="M42" s="228">
        <v>6182885</v>
      </c>
      <c r="N42" s="52">
        <v>2023</v>
      </c>
      <c r="O42" s="44">
        <f t="shared" si="0"/>
        <v>0.40110725009441384</v>
      </c>
      <c r="P42" s="227">
        <v>1.71</v>
      </c>
      <c r="Q42" s="227">
        <v>5.6</v>
      </c>
      <c r="R42" s="227">
        <v>10.41</v>
      </c>
      <c r="S42" s="227">
        <v>18.149999999999999</v>
      </c>
      <c r="T42" s="227">
        <v>64.14</v>
      </c>
      <c r="U42" s="233">
        <f t="shared" si="5"/>
        <v>229.05114367254438</v>
      </c>
      <c r="V42" s="233">
        <f t="shared" si="1"/>
        <v>750.10900851827387</v>
      </c>
      <c r="W42" s="233">
        <f t="shared" si="2"/>
        <v>1394.3990676205774</v>
      </c>
      <c r="X42" s="233">
        <f t="shared" si="3"/>
        <v>2431.1568758226203</v>
      </c>
      <c r="Y42" s="233">
        <f t="shared" si="4"/>
        <v>8591.4271082789473</v>
      </c>
      <c r="Z42" s="58">
        <f t="shared" si="6"/>
        <v>489.58007609540914</v>
      </c>
      <c r="AA42" s="58">
        <f t="shared" si="7"/>
        <v>1394.3990676205774</v>
      </c>
      <c r="AB42" s="58">
        <f t="shared" si="8"/>
        <v>8591.4271082789473</v>
      </c>
    </row>
    <row r="43" spans="1:28">
      <c r="A43" s="52" t="s">
        <v>388</v>
      </c>
      <c r="B43" s="52" t="s">
        <v>389</v>
      </c>
      <c r="C43" s="52" t="s">
        <v>116</v>
      </c>
      <c r="D43" s="52" t="s">
        <v>322</v>
      </c>
      <c r="E43" s="225">
        <v>363493841244.30328</v>
      </c>
      <c r="F43" s="52">
        <v>2023</v>
      </c>
      <c r="G43" s="57" t="s">
        <v>1763</v>
      </c>
      <c r="H43" s="226">
        <v>47.290999999999997</v>
      </c>
      <c r="I43" s="52">
        <v>2024</v>
      </c>
      <c r="J43" s="228">
        <v>25488984</v>
      </c>
      <c r="K43" s="52">
        <v>2024</v>
      </c>
      <c r="L43" s="52" t="s">
        <v>1769</v>
      </c>
      <c r="M43" s="228">
        <v>52321152</v>
      </c>
      <c r="N43" s="52">
        <v>2023</v>
      </c>
      <c r="O43" s="44">
        <f t="shared" si="0"/>
        <v>0.48716404409444197</v>
      </c>
      <c r="P43" s="227">
        <v>2.78</v>
      </c>
      <c r="Q43" s="227">
        <v>7.25</v>
      </c>
      <c r="R43" s="227">
        <v>12.02</v>
      </c>
      <c r="S43" s="227">
        <v>19.96</v>
      </c>
      <c r="T43" s="227">
        <v>57.98</v>
      </c>
      <c r="U43" s="233">
        <f t="shared" si="5"/>
        <v>937.42780302012955</v>
      </c>
      <c r="V43" s="233">
        <f t="shared" si="1"/>
        <v>2444.7307812575318</v>
      </c>
      <c r="W43" s="233">
        <f t="shared" si="2"/>
        <v>4053.1950332021433</v>
      </c>
      <c r="X43" s="233">
        <f t="shared" si="3"/>
        <v>6730.5967439862543</v>
      </c>
      <c r="Y43" s="233">
        <f t="shared" si="4"/>
        <v>19551.102165146443</v>
      </c>
      <c r="Z43" s="58">
        <f t="shared" si="6"/>
        <v>1691.0792921388306</v>
      </c>
      <c r="AA43" s="58">
        <f t="shared" si="7"/>
        <v>4053.1950332021433</v>
      </c>
      <c r="AB43" s="58">
        <f t="shared" si="8"/>
        <v>19551.102165146443</v>
      </c>
    </row>
    <row r="44" spans="1:28">
      <c r="A44" s="52" t="s">
        <v>390</v>
      </c>
      <c r="B44" s="52" t="s">
        <v>391</v>
      </c>
      <c r="C44" s="52" t="s">
        <v>119</v>
      </c>
      <c r="D44" s="52" t="s">
        <v>325</v>
      </c>
      <c r="E44" s="225">
        <v>1352380971.2405515</v>
      </c>
      <c r="F44" s="52">
        <v>2023</v>
      </c>
      <c r="G44" s="57" t="s">
        <v>1763</v>
      </c>
      <c r="H44" s="226">
        <v>41.198</v>
      </c>
      <c r="I44" s="52">
        <v>2024</v>
      </c>
      <c r="J44" s="228">
        <v>272103</v>
      </c>
      <c r="K44" s="52">
        <v>2021</v>
      </c>
      <c r="L44" s="52" t="s">
        <v>1769</v>
      </c>
      <c r="M44" s="228">
        <v>850387</v>
      </c>
      <c r="N44" s="52">
        <v>2023</v>
      </c>
      <c r="O44" s="44">
        <f t="shared" si="0"/>
        <v>0.31997549351060162</v>
      </c>
      <c r="P44" s="227">
        <v>1.9</v>
      </c>
      <c r="Q44" s="227">
        <v>6.17</v>
      </c>
      <c r="R44" s="227">
        <v>10.94</v>
      </c>
      <c r="S44" s="227">
        <v>19.29</v>
      </c>
      <c r="T44" s="227">
        <v>61.7</v>
      </c>
      <c r="U44" s="233">
        <f t="shared" si="5"/>
        <v>194.52053704115656</v>
      </c>
      <c r="V44" s="233">
        <f t="shared" si="1"/>
        <v>631.67984923365054</v>
      </c>
      <c r="W44" s="233">
        <f t="shared" si="2"/>
        <v>1120.028776436975</v>
      </c>
      <c r="X44" s="233">
        <f t="shared" si="3"/>
        <v>1974.8953471178472</v>
      </c>
      <c r="Y44" s="233">
        <f t="shared" si="4"/>
        <v>6316.7984923365048</v>
      </c>
      <c r="Z44" s="58">
        <f t="shared" si="6"/>
        <v>413.10019313740355</v>
      </c>
      <c r="AA44" s="58">
        <f t="shared" si="7"/>
        <v>1120.028776436975</v>
      </c>
      <c r="AB44" s="58">
        <f t="shared" si="8"/>
        <v>6316.7984923365048</v>
      </c>
    </row>
    <row r="45" spans="1:28">
      <c r="A45" s="52" t="s">
        <v>372</v>
      </c>
      <c r="B45" s="52" t="s">
        <v>373</v>
      </c>
      <c r="C45" s="52" t="s">
        <v>119</v>
      </c>
      <c r="D45" s="52" t="s">
        <v>325</v>
      </c>
      <c r="E45" s="225">
        <v>2533819406.4915967</v>
      </c>
      <c r="F45" s="52">
        <v>2023</v>
      </c>
      <c r="G45" s="57" t="s">
        <v>1763</v>
      </c>
      <c r="H45" s="226">
        <v>43.226999999999997</v>
      </c>
      <c r="I45" s="52">
        <v>2024</v>
      </c>
      <c r="J45" s="228">
        <v>232604</v>
      </c>
      <c r="K45" s="52">
        <v>2019</v>
      </c>
      <c r="L45" s="52" t="s">
        <v>1769</v>
      </c>
      <c r="M45" s="228">
        <v>522331</v>
      </c>
      <c r="N45" s="52">
        <v>2023</v>
      </c>
      <c r="O45" s="44">
        <f t="shared" si="0"/>
        <v>0.44531915586093873</v>
      </c>
      <c r="P45" s="227">
        <v>2.72</v>
      </c>
      <c r="Q45" s="227">
        <v>6.61</v>
      </c>
      <c r="R45" s="227">
        <v>11.23</v>
      </c>
      <c r="S45" s="227">
        <v>18.91</v>
      </c>
      <c r="T45" s="227">
        <v>60.53</v>
      </c>
      <c r="U45" s="233">
        <f t="shared" si="5"/>
        <v>640.40171114340535</v>
      </c>
      <c r="V45" s="233">
        <f t="shared" si="1"/>
        <v>1556.2703348007019</v>
      </c>
      <c r="W45" s="233">
        <f t="shared" si="2"/>
        <v>2644.0114765222215</v>
      </c>
      <c r="X45" s="233">
        <f t="shared" si="3"/>
        <v>4452.2045432800714</v>
      </c>
      <c r="Y45" s="233">
        <f t="shared" si="4"/>
        <v>14251.292490996444</v>
      </c>
      <c r="Z45" s="58">
        <f t="shared" si="6"/>
        <v>1098.3360229720536</v>
      </c>
      <c r="AA45" s="58">
        <f t="shared" si="7"/>
        <v>2644.0114765222215</v>
      </c>
      <c r="AB45" s="58">
        <f t="shared" si="8"/>
        <v>14251.292490996444</v>
      </c>
    </row>
    <row r="46" spans="1:28">
      <c r="A46" s="52" t="s">
        <v>396</v>
      </c>
      <c r="B46" s="52" t="s">
        <v>397</v>
      </c>
      <c r="C46" s="52" t="s">
        <v>116</v>
      </c>
      <c r="D46" s="52" t="s">
        <v>322</v>
      </c>
      <c r="E46" s="225">
        <v>86497941439.017441</v>
      </c>
      <c r="F46" s="52">
        <v>2023</v>
      </c>
      <c r="G46" s="57" t="s">
        <v>1763</v>
      </c>
      <c r="H46" s="226">
        <v>55.506999999999998</v>
      </c>
      <c r="I46" s="52">
        <v>2024</v>
      </c>
      <c r="J46" s="228">
        <v>2426547</v>
      </c>
      <c r="K46" s="52">
        <v>2024</v>
      </c>
      <c r="L46" s="52" t="s">
        <v>1769</v>
      </c>
      <c r="M46" s="228">
        <v>5105525</v>
      </c>
      <c r="N46" s="52">
        <v>2023</v>
      </c>
      <c r="O46" s="44">
        <f t="shared" si="0"/>
        <v>0.47527864421386634</v>
      </c>
      <c r="P46" s="227">
        <v>4.12</v>
      </c>
      <c r="Q46" s="227">
        <v>8.23</v>
      </c>
      <c r="R46" s="227">
        <v>12.65</v>
      </c>
      <c r="S46" s="227">
        <v>20.89</v>
      </c>
      <c r="T46" s="227">
        <v>54.12</v>
      </c>
      <c r="U46" s="233">
        <f t="shared" si="5"/>
        <v>4075.9799604287136</v>
      </c>
      <c r="V46" s="233">
        <f t="shared" si="1"/>
        <v>8142.0667656136684</v>
      </c>
      <c r="W46" s="233">
        <f t="shared" si="2"/>
        <v>12514.841383355149</v>
      </c>
      <c r="X46" s="233">
        <f t="shared" si="3"/>
        <v>20666.801304212579</v>
      </c>
      <c r="Y46" s="233">
        <f t="shared" si="4"/>
        <v>53541.756179223783</v>
      </c>
      <c r="Z46" s="58">
        <f t="shared" si="6"/>
        <v>6109.0233630211915</v>
      </c>
      <c r="AA46" s="58">
        <f t="shared" si="7"/>
        <v>12514.841383355149</v>
      </c>
      <c r="AB46" s="58">
        <f t="shared" si="8"/>
        <v>53541.756179223783</v>
      </c>
    </row>
    <row r="47" spans="1:28">
      <c r="A47" s="52" t="s">
        <v>400</v>
      </c>
      <c r="B47" s="52" t="s">
        <v>401</v>
      </c>
      <c r="C47" s="52" t="s">
        <v>116</v>
      </c>
      <c r="D47" s="52" t="s">
        <v>322</v>
      </c>
      <c r="E47" s="225">
        <v>107351800000</v>
      </c>
      <c r="F47" s="52">
        <v>2020</v>
      </c>
      <c r="G47" s="57" t="s">
        <v>1763</v>
      </c>
      <c r="H47" s="226">
        <v>41.616999999999997</v>
      </c>
      <c r="I47" s="52">
        <v>2024</v>
      </c>
      <c r="J47" s="228">
        <v>5238000</v>
      </c>
      <c r="K47" s="52">
        <v>2023</v>
      </c>
      <c r="L47" s="52" t="s">
        <v>1770</v>
      </c>
      <c r="M47" s="228">
        <v>11019931</v>
      </c>
      <c r="N47" s="52">
        <v>2023</v>
      </c>
      <c r="O47" s="44">
        <f t="shared" si="0"/>
        <v>0.47532058050091242</v>
      </c>
      <c r="P47" s="227">
        <v>5.09</v>
      </c>
      <c r="Q47" s="227">
        <v>8.33</v>
      </c>
      <c r="R47" s="227">
        <v>12.24</v>
      </c>
      <c r="S47" s="227">
        <v>18.260000000000002</v>
      </c>
      <c r="T47" s="227">
        <v>56.08</v>
      </c>
      <c r="U47" s="233">
        <f t="shared" si="5"/>
        <v>2170.7129334148531</v>
      </c>
      <c r="V47" s="233">
        <f t="shared" si="1"/>
        <v>3552.4634057653684</v>
      </c>
      <c r="W47" s="233">
        <f t="shared" si="2"/>
        <v>5219.9462288797249</v>
      </c>
      <c r="X47" s="233">
        <f t="shared" si="3"/>
        <v>7787.2727238025964</v>
      </c>
      <c r="Y47" s="233">
        <f t="shared" si="4"/>
        <v>23916.224225128677</v>
      </c>
      <c r="Z47" s="58">
        <f t="shared" si="6"/>
        <v>2861.5881695901107</v>
      </c>
      <c r="AA47" s="58">
        <f t="shared" si="7"/>
        <v>5219.9462288797249</v>
      </c>
      <c r="AB47" s="58">
        <f t="shared" si="8"/>
        <v>23916.224225128677</v>
      </c>
    </row>
    <row r="48" spans="1:28">
      <c r="A48" s="52" t="s">
        <v>745</v>
      </c>
      <c r="B48" s="52" t="s">
        <v>746</v>
      </c>
      <c r="C48" s="52" t="s">
        <v>116</v>
      </c>
      <c r="D48" s="52" t="s">
        <v>121</v>
      </c>
      <c r="E48" s="225">
        <v>3281419347.3705306</v>
      </c>
      <c r="F48" s="52">
        <v>2023</v>
      </c>
      <c r="G48" s="57" t="s">
        <v>1763</v>
      </c>
      <c r="H48" s="226">
        <v>50.6</v>
      </c>
      <c r="I48" s="52">
        <v>2024</v>
      </c>
      <c r="J48" s="228">
        <v>70492</v>
      </c>
      <c r="K48" s="52">
        <v>2020</v>
      </c>
      <c r="L48" s="52" t="s">
        <v>1769</v>
      </c>
      <c r="M48" s="228">
        <v>147862</v>
      </c>
      <c r="N48" s="52">
        <v>2023</v>
      </c>
      <c r="O48" s="44">
        <f t="shared" si="0"/>
        <v>0.47674182683853866</v>
      </c>
      <c r="P48" s="227">
        <v>4.05</v>
      </c>
      <c r="Q48" s="227">
        <v>8.52</v>
      </c>
      <c r="R48" s="227">
        <v>13.03</v>
      </c>
      <c r="S48" s="227">
        <v>20.2</v>
      </c>
      <c r="T48" s="227">
        <v>54.21</v>
      </c>
      <c r="U48" s="233">
        <f t="shared" si="5"/>
        <v>4769.7700934619725</v>
      </c>
      <c r="V48" s="233">
        <f t="shared" si="1"/>
        <v>10034.183011431114</v>
      </c>
      <c r="W48" s="233">
        <f t="shared" si="2"/>
        <v>15345.704769829506</v>
      </c>
      <c r="X48" s="233">
        <f t="shared" si="3"/>
        <v>23789.964416773291</v>
      </c>
      <c r="Y48" s="233">
        <f t="shared" si="4"/>
        <v>63844.255991746555</v>
      </c>
      <c r="Z48" s="58">
        <f t="shared" si="6"/>
        <v>7401.9765524465438</v>
      </c>
      <c r="AA48" s="58">
        <f t="shared" si="7"/>
        <v>15345.704769829506</v>
      </c>
      <c r="AB48" s="58">
        <f t="shared" si="8"/>
        <v>63844.255991746555</v>
      </c>
    </row>
    <row r="49" spans="1:28">
      <c r="A49" s="52" t="s">
        <v>694</v>
      </c>
      <c r="B49" s="52" t="s">
        <v>695</v>
      </c>
      <c r="C49" s="52" t="s">
        <v>116</v>
      </c>
      <c r="D49" s="52" t="s">
        <v>121</v>
      </c>
      <c r="E49" s="225">
        <v>7139428557.7142305</v>
      </c>
      <c r="F49" s="52">
        <v>2023</v>
      </c>
      <c r="G49" s="57" t="s">
        <v>1763</v>
      </c>
      <c r="H49" s="226">
        <v>50.6</v>
      </c>
      <c r="I49" s="52">
        <v>2024</v>
      </c>
      <c r="J49" s="228">
        <v>40870</v>
      </c>
      <c r="K49" s="52">
        <v>2015</v>
      </c>
      <c r="L49" s="52" t="s">
        <v>1769</v>
      </c>
      <c r="M49" s="228">
        <v>73038</v>
      </c>
      <c r="N49" s="52">
        <v>2023</v>
      </c>
      <c r="O49" s="44">
        <f t="shared" si="0"/>
        <v>0.55957172978449576</v>
      </c>
      <c r="P49" s="227">
        <v>4.05</v>
      </c>
      <c r="Q49" s="227">
        <v>8.52</v>
      </c>
      <c r="R49" s="227">
        <v>13.03</v>
      </c>
      <c r="S49" s="227">
        <v>20.2</v>
      </c>
      <c r="T49" s="227">
        <v>54.21</v>
      </c>
      <c r="U49" s="233">
        <f t="shared" si="5"/>
        <v>17899.230417572515</v>
      </c>
      <c r="V49" s="233">
        <f t="shared" si="1"/>
        <v>37654.677322893294</v>
      </c>
      <c r="W49" s="233">
        <f t="shared" si="2"/>
        <v>57586.906750856753</v>
      </c>
      <c r="X49" s="233">
        <f t="shared" si="3"/>
        <v>89275.173934559192</v>
      </c>
      <c r="Y49" s="233">
        <f t="shared" si="4"/>
        <v>239584.51381150767</v>
      </c>
      <c r="Z49" s="58">
        <f t="shared" si="6"/>
        <v>27776.953870232905</v>
      </c>
      <c r="AA49" s="58">
        <f t="shared" si="7"/>
        <v>57586.906750856753</v>
      </c>
      <c r="AB49" s="58">
        <f t="shared" si="8"/>
        <v>239584.51381150767</v>
      </c>
    </row>
    <row r="50" spans="1:28">
      <c r="A50" s="52" t="s">
        <v>402</v>
      </c>
      <c r="B50" s="52" t="s">
        <v>403</v>
      </c>
      <c r="C50" s="52" t="s">
        <v>115</v>
      </c>
      <c r="D50" s="52" t="s">
        <v>121</v>
      </c>
      <c r="E50" s="225">
        <v>33886930712.339432</v>
      </c>
      <c r="F50" s="52">
        <v>2023</v>
      </c>
      <c r="G50" s="57" t="s">
        <v>1763</v>
      </c>
      <c r="H50" s="226">
        <v>46.81</v>
      </c>
      <c r="I50" s="52">
        <v>2024</v>
      </c>
      <c r="J50" s="228">
        <v>509665</v>
      </c>
      <c r="K50" s="52">
        <v>2023</v>
      </c>
      <c r="L50" s="52" t="s">
        <v>1769</v>
      </c>
      <c r="M50" s="228">
        <v>1344976</v>
      </c>
      <c r="N50" s="52">
        <v>2023</v>
      </c>
      <c r="O50" s="44">
        <f t="shared" si="0"/>
        <v>0.37893984725377999</v>
      </c>
      <c r="P50" s="227">
        <v>8.51</v>
      </c>
      <c r="Q50" s="227">
        <v>12.84</v>
      </c>
      <c r="R50" s="227">
        <v>16.75</v>
      </c>
      <c r="S50" s="227">
        <v>21.81</v>
      </c>
      <c r="T50" s="227">
        <v>40.1</v>
      </c>
      <c r="U50" s="233">
        <f t="shared" si="5"/>
        <v>13242.977150427851</v>
      </c>
      <c r="V50" s="233">
        <f t="shared" si="1"/>
        <v>19981.178215216634</v>
      </c>
      <c r="W50" s="233">
        <f t="shared" si="2"/>
        <v>26065.789338386196</v>
      </c>
      <c r="X50" s="233">
        <f t="shared" si="3"/>
        <v>33939.991968370319</v>
      </c>
      <c r="Y50" s="233">
        <f t="shared" si="4"/>
        <v>62402.277759360382</v>
      </c>
      <c r="Z50" s="58">
        <f t="shared" si="6"/>
        <v>16612.077682822244</v>
      </c>
      <c r="AA50" s="58">
        <f t="shared" si="7"/>
        <v>26065.789338386196</v>
      </c>
      <c r="AB50" s="58">
        <f t="shared" si="8"/>
        <v>62402.277759360382</v>
      </c>
    </row>
    <row r="51" spans="1:28">
      <c r="A51" s="52" t="s">
        <v>747</v>
      </c>
      <c r="B51" s="52" t="s">
        <v>405</v>
      </c>
      <c r="C51" s="52" t="s">
        <v>115</v>
      </c>
      <c r="D51" s="52" t="s">
        <v>121</v>
      </c>
      <c r="E51" s="225">
        <v>343207874553.7345</v>
      </c>
      <c r="F51" s="52">
        <v>2023</v>
      </c>
      <c r="G51" s="57" t="s">
        <v>1763</v>
      </c>
      <c r="H51" s="226">
        <v>54.927999999999997</v>
      </c>
      <c r="I51" s="52">
        <v>2024</v>
      </c>
      <c r="J51" s="228">
        <v>5194847</v>
      </c>
      <c r="K51" s="52">
        <v>2023</v>
      </c>
      <c r="L51" s="52" t="s">
        <v>1769</v>
      </c>
      <c r="M51" s="228">
        <v>10864042</v>
      </c>
      <c r="N51" s="52">
        <v>2023</v>
      </c>
      <c r="O51" s="44">
        <f t="shared" si="0"/>
        <v>0.47816889883157671</v>
      </c>
      <c r="P51" s="227">
        <v>10.01</v>
      </c>
      <c r="Q51" s="227">
        <v>14.39</v>
      </c>
      <c r="R51" s="227">
        <v>17.670000000000002</v>
      </c>
      <c r="S51" s="227">
        <v>22.02</v>
      </c>
      <c r="T51" s="227">
        <v>35.9</v>
      </c>
      <c r="U51" s="233">
        <f t="shared" si="5"/>
        <v>18162.781171053753</v>
      </c>
      <c r="V51" s="233">
        <f t="shared" si="1"/>
        <v>26110.131973173178</v>
      </c>
      <c r="W51" s="233">
        <f t="shared" si="2"/>
        <v>32061.57275649549</v>
      </c>
      <c r="X51" s="233">
        <f t="shared" si="3"/>
        <v>39954.489649011361</v>
      </c>
      <c r="Y51" s="233">
        <f t="shared" si="4"/>
        <v>65139.245158924045</v>
      </c>
      <c r="Z51" s="58">
        <f t="shared" si="6"/>
        <v>22136.456572113464</v>
      </c>
      <c r="AA51" s="58">
        <f t="shared" si="7"/>
        <v>32061.57275649549</v>
      </c>
      <c r="AB51" s="58">
        <f t="shared" si="8"/>
        <v>65139.245158924045</v>
      </c>
    </row>
    <row r="52" spans="1:28">
      <c r="A52" s="52" t="s">
        <v>436</v>
      </c>
      <c r="B52" s="52" t="s">
        <v>437</v>
      </c>
      <c r="C52" s="52" t="s">
        <v>115</v>
      </c>
      <c r="D52" s="52" t="s">
        <v>121</v>
      </c>
      <c r="E52" s="225">
        <v>4525703903627.5313</v>
      </c>
      <c r="F52" s="52">
        <v>2023</v>
      </c>
      <c r="G52" s="57" t="s">
        <v>1763</v>
      </c>
      <c r="H52" s="226">
        <v>61.026000000000003</v>
      </c>
      <c r="I52" s="52">
        <v>2024</v>
      </c>
      <c r="J52" s="228">
        <v>44428969</v>
      </c>
      <c r="K52" s="52">
        <v>2023</v>
      </c>
      <c r="L52" s="52" t="s">
        <v>1769</v>
      </c>
      <c r="M52" s="228">
        <v>83280000</v>
      </c>
      <c r="N52" s="52">
        <v>2023</v>
      </c>
      <c r="O52" s="44">
        <f t="shared" si="0"/>
        <v>0.53348906099903937</v>
      </c>
      <c r="P52" s="227">
        <v>7.86</v>
      </c>
      <c r="Q52" s="227">
        <v>12.92</v>
      </c>
      <c r="R52" s="227">
        <v>17</v>
      </c>
      <c r="S52" s="227">
        <v>22.3</v>
      </c>
      <c r="T52" s="227">
        <v>39.93</v>
      </c>
      <c r="U52" s="233">
        <f t="shared" si="5"/>
        <v>24430.218789040566</v>
      </c>
      <c r="V52" s="233">
        <f t="shared" si="1"/>
        <v>40157.5606557766</v>
      </c>
      <c r="W52" s="233">
        <f t="shared" si="2"/>
        <v>52838.895599706055</v>
      </c>
      <c r="X52" s="233">
        <f t="shared" si="3"/>
        <v>69312.198345496756</v>
      </c>
      <c r="Y52" s="233">
        <f t="shared" si="4"/>
        <v>124109.24125272133</v>
      </c>
      <c r="Z52" s="58">
        <f t="shared" si="6"/>
        <v>32293.889722408581</v>
      </c>
      <c r="AA52" s="58">
        <f t="shared" si="7"/>
        <v>52838.895599706055</v>
      </c>
      <c r="AB52" s="58">
        <f t="shared" si="8"/>
        <v>124109.24125272133</v>
      </c>
    </row>
    <row r="53" spans="1:28">
      <c r="A53" s="52" t="s">
        <v>408</v>
      </c>
      <c r="B53" s="52" t="s">
        <v>409</v>
      </c>
      <c r="C53" s="52" t="s">
        <v>117</v>
      </c>
      <c r="D53" s="52" t="s">
        <v>325</v>
      </c>
      <c r="E53" s="225">
        <v>4098530513.5577674</v>
      </c>
      <c r="F53" s="52">
        <v>2023</v>
      </c>
      <c r="G53" s="57" t="s">
        <v>1763</v>
      </c>
      <c r="H53" s="226">
        <v>41.292000000000002</v>
      </c>
      <c r="I53" s="52">
        <v>2024</v>
      </c>
      <c r="J53" s="228">
        <v>111900</v>
      </c>
      <c r="K53" s="52">
        <v>2017</v>
      </c>
      <c r="L53" s="52" t="s">
        <v>1769</v>
      </c>
      <c r="M53" s="228">
        <v>1152944</v>
      </c>
      <c r="N53" s="52">
        <v>2023</v>
      </c>
      <c r="O53" s="44">
        <f t="shared" si="0"/>
        <v>9.705588476109854E-2</v>
      </c>
      <c r="P53" s="227">
        <v>4.6900000000000004</v>
      </c>
      <c r="Q53" s="227">
        <v>9.8000000000000007</v>
      </c>
      <c r="R53" s="227">
        <v>14.7</v>
      </c>
      <c r="S53" s="227">
        <v>21.72</v>
      </c>
      <c r="T53" s="227">
        <v>49.08</v>
      </c>
      <c r="U53" s="233">
        <f t="shared" si="5"/>
        <v>3546.5562467369541</v>
      </c>
      <c r="V53" s="233">
        <f t="shared" si="1"/>
        <v>7410.7145454204992</v>
      </c>
      <c r="W53" s="233">
        <f t="shared" si="2"/>
        <v>11116.071818130751</v>
      </c>
      <c r="X53" s="233">
        <f t="shared" si="3"/>
        <v>16424.563257809514</v>
      </c>
      <c r="Y53" s="233">
        <f t="shared" si="4"/>
        <v>37114.068356044707</v>
      </c>
      <c r="Z53" s="58">
        <f t="shared" si="6"/>
        <v>5478.6353960787264</v>
      </c>
      <c r="AA53" s="58">
        <f t="shared" si="7"/>
        <v>11116.071818130751</v>
      </c>
      <c r="AB53" s="58">
        <f t="shared" si="8"/>
        <v>37114.068356044707</v>
      </c>
    </row>
    <row r="54" spans="1:28">
      <c r="A54" s="52" t="s">
        <v>410</v>
      </c>
      <c r="B54" s="52" t="s">
        <v>411</v>
      </c>
      <c r="C54" s="52" t="s">
        <v>116</v>
      </c>
      <c r="D54" s="52" t="s">
        <v>322</v>
      </c>
      <c r="E54" s="225">
        <v>653992592.5925926</v>
      </c>
      <c r="F54" s="52">
        <v>2023</v>
      </c>
      <c r="G54" s="57" t="s">
        <v>1763</v>
      </c>
      <c r="H54" s="226">
        <v>47.7</v>
      </c>
      <c r="I54" s="52">
        <v>2024</v>
      </c>
      <c r="J54" s="228">
        <v>25000</v>
      </c>
      <c r="K54" s="52">
        <v>2000</v>
      </c>
      <c r="L54" s="57" t="s">
        <v>1770</v>
      </c>
      <c r="M54" s="228">
        <v>66510</v>
      </c>
      <c r="N54" s="52">
        <v>2023</v>
      </c>
      <c r="O54" s="44">
        <f t="shared" si="0"/>
        <v>0.3758833258156668</v>
      </c>
      <c r="P54" s="227">
        <v>2.64</v>
      </c>
      <c r="Q54" s="227">
        <v>6.88</v>
      </c>
      <c r="R54" s="227">
        <v>11.52</v>
      </c>
      <c r="S54" s="227">
        <v>18.89</v>
      </c>
      <c r="T54" s="227">
        <v>60.07</v>
      </c>
      <c r="U54" s="233">
        <f t="shared" si="5"/>
        <v>1647.1195840000003</v>
      </c>
      <c r="V54" s="233">
        <f t="shared" si="1"/>
        <v>4292.4934613333335</v>
      </c>
      <c r="W54" s="233">
        <f t="shared" si="2"/>
        <v>7187.4309120000007</v>
      </c>
      <c r="X54" s="233">
        <f t="shared" si="3"/>
        <v>11785.639750666667</v>
      </c>
      <c r="Y54" s="233">
        <f t="shared" si="4"/>
        <v>37478.209625333337</v>
      </c>
      <c r="Z54" s="58">
        <f t="shared" si="6"/>
        <v>2969.8065226666668</v>
      </c>
      <c r="AA54" s="58">
        <f t="shared" si="7"/>
        <v>7187.4309120000007</v>
      </c>
      <c r="AB54" s="58">
        <f t="shared" si="8"/>
        <v>37478.209625333337</v>
      </c>
    </row>
    <row r="55" spans="1:28">
      <c r="A55" s="52" t="s">
        <v>406</v>
      </c>
      <c r="B55" s="52" t="s">
        <v>407</v>
      </c>
      <c r="C55" s="52" t="s">
        <v>115</v>
      </c>
      <c r="D55" s="52" t="s">
        <v>121</v>
      </c>
      <c r="E55" s="225">
        <v>407091920305.4043</v>
      </c>
      <c r="F55" s="52">
        <v>2023</v>
      </c>
      <c r="G55" s="57" t="s">
        <v>1763</v>
      </c>
      <c r="H55" s="226">
        <v>58.088999999999999</v>
      </c>
      <c r="I55" s="52">
        <v>2024</v>
      </c>
      <c r="J55" s="228">
        <v>3179463</v>
      </c>
      <c r="K55" s="52">
        <v>2023</v>
      </c>
      <c r="L55" s="52" t="s">
        <v>1769</v>
      </c>
      <c r="M55" s="228">
        <v>5946952</v>
      </c>
      <c r="N55" s="52">
        <v>2023</v>
      </c>
      <c r="O55" s="44">
        <f t="shared" si="0"/>
        <v>0.53463740753246369</v>
      </c>
      <c r="P55" s="227">
        <v>9.41</v>
      </c>
      <c r="Q55" s="227">
        <v>14.29</v>
      </c>
      <c r="R55" s="227">
        <v>17.86</v>
      </c>
      <c r="S55" s="227">
        <v>22.47</v>
      </c>
      <c r="T55" s="227">
        <v>35.979999999999997</v>
      </c>
      <c r="U55" s="233">
        <f t="shared" si="5"/>
        <v>34993.89105591418</v>
      </c>
      <c r="V55" s="233">
        <f t="shared" si="1"/>
        <v>53141.626268758082</v>
      </c>
      <c r="W55" s="233">
        <f t="shared" si="2"/>
        <v>66417.735840449212</v>
      </c>
      <c r="X55" s="233">
        <f t="shared" si="3"/>
        <v>83561.395539467747</v>
      </c>
      <c r="Y55" s="233">
        <f t="shared" si="4"/>
        <v>133802.35921273028</v>
      </c>
      <c r="Z55" s="58">
        <f t="shared" si="6"/>
        <v>44067.758662336128</v>
      </c>
      <c r="AA55" s="58">
        <f t="shared" si="7"/>
        <v>66417.735840449212</v>
      </c>
      <c r="AB55" s="58">
        <f t="shared" si="8"/>
        <v>133802.35921273028</v>
      </c>
    </row>
    <row r="56" spans="1:28">
      <c r="A56" s="52" t="s">
        <v>412</v>
      </c>
      <c r="B56" s="52" t="s">
        <v>413</v>
      </c>
      <c r="C56" s="52" t="s">
        <v>116</v>
      </c>
      <c r="D56" s="52" t="s">
        <v>322</v>
      </c>
      <c r="E56" s="225">
        <v>121444279313.93079</v>
      </c>
      <c r="F56" s="52">
        <v>2023</v>
      </c>
      <c r="G56" s="57" t="s">
        <v>1763</v>
      </c>
      <c r="H56" s="226">
        <v>47.508000000000003</v>
      </c>
      <c r="I56" s="52">
        <v>2024</v>
      </c>
      <c r="J56" s="228">
        <v>5119703</v>
      </c>
      <c r="K56" s="52">
        <v>2023</v>
      </c>
      <c r="L56" s="52" t="s">
        <v>1769</v>
      </c>
      <c r="M56" s="228">
        <v>11331265</v>
      </c>
      <c r="N56" s="52">
        <v>2023</v>
      </c>
      <c r="O56" s="44">
        <f t="shared" si="0"/>
        <v>0.45182095732471178</v>
      </c>
      <c r="P56" s="227">
        <v>6</v>
      </c>
      <c r="Q56" s="227">
        <v>10.5</v>
      </c>
      <c r="R56" s="227">
        <v>14.8</v>
      </c>
      <c r="S56" s="227">
        <v>21.6</v>
      </c>
      <c r="T56" s="227">
        <v>47.1</v>
      </c>
      <c r="U56" s="233">
        <f t="shared" si="5"/>
        <v>3380.8063602397774</v>
      </c>
      <c r="V56" s="233">
        <f t="shared" si="1"/>
        <v>5916.4111304196103</v>
      </c>
      <c r="W56" s="233">
        <f t="shared" si="2"/>
        <v>8339.3223552581185</v>
      </c>
      <c r="X56" s="233">
        <f t="shared" si="3"/>
        <v>12170.902896863199</v>
      </c>
      <c r="Y56" s="233">
        <f t="shared" si="4"/>
        <v>26539.329927882256</v>
      </c>
      <c r="Z56" s="58">
        <f t="shared" si="6"/>
        <v>4648.6087453296941</v>
      </c>
      <c r="AA56" s="58">
        <f t="shared" si="7"/>
        <v>8339.3223552581185</v>
      </c>
      <c r="AB56" s="58">
        <f t="shared" si="8"/>
        <v>26539.329927882256</v>
      </c>
    </row>
    <row r="57" spans="1:28">
      <c r="A57" s="52" t="s">
        <v>323</v>
      </c>
      <c r="B57" s="52" t="s">
        <v>324</v>
      </c>
      <c r="C57" s="52" t="s">
        <v>117</v>
      </c>
      <c r="D57" s="52" t="s">
        <v>325</v>
      </c>
      <c r="E57" s="225">
        <v>247626161016.41446</v>
      </c>
      <c r="F57" s="52">
        <v>2023</v>
      </c>
      <c r="G57" s="57" t="s">
        <v>1763</v>
      </c>
      <c r="H57" s="226">
        <v>34.488999999999997</v>
      </c>
      <c r="I57" s="52">
        <v>2024</v>
      </c>
      <c r="J57" s="228">
        <v>13552000</v>
      </c>
      <c r="K57" s="52">
        <v>2023</v>
      </c>
      <c r="L57" s="52" t="s">
        <v>1770</v>
      </c>
      <c r="M57" s="228">
        <v>46164219</v>
      </c>
      <c r="N57" s="52">
        <v>2023</v>
      </c>
      <c r="O57" s="44">
        <f t="shared" si="0"/>
        <v>0.2935606903693096</v>
      </c>
      <c r="P57" s="227">
        <v>7.73</v>
      </c>
      <c r="Q57" s="227">
        <v>12.04</v>
      </c>
      <c r="R57" s="227">
        <v>16.440000000000001</v>
      </c>
      <c r="S57" s="227">
        <v>22.36</v>
      </c>
      <c r="T57" s="227">
        <v>41.43</v>
      </c>
      <c r="U57" s="233">
        <f t="shared" si="5"/>
        <v>2435.6968380383437</v>
      </c>
      <c r="V57" s="233">
        <f t="shared" si="1"/>
        <v>3793.7632509678724</v>
      </c>
      <c r="W57" s="233">
        <f t="shared" si="2"/>
        <v>5180.1883592950026</v>
      </c>
      <c r="X57" s="233">
        <f t="shared" si="3"/>
        <v>7045.5603232260491</v>
      </c>
      <c r="Y57" s="233">
        <f t="shared" si="4"/>
        <v>13054.452781362041</v>
      </c>
      <c r="Z57" s="58">
        <f t="shared" si="6"/>
        <v>3114.7300445031078</v>
      </c>
      <c r="AA57" s="58">
        <f t="shared" si="7"/>
        <v>5180.1883592950026</v>
      </c>
      <c r="AB57" s="58">
        <f t="shared" si="8"/>
        <v>13054.452781362041</v>
      </c>
    </row>
    <row r="58" spans="1:28">
      <c r="A58" s="52" t="s">
        <v>414</v>
      </c>
      <c r="B58" s="52" t="s">
        <v>415</v>
      </c>
      <c r="C58" s="52" t="s">
        <v>116</v>
      </c>
      <c r="D58" s="52" t="s">
        <v>322</v>
      </c>
      <c r="E58" s="225">
        <v>118844826000</v>
      </c>
      <c r="F58" s="52">
        <v>2023</v>
      </c>
      <c r="G58" s="57" t="s">
        <v>1763</v>
      </c>
      <c r="H58" s="226">
        <v>55.173999999999999</v>
      </c>
      <c r="I58" s="52">
        <v>2024</v>
      </c>
      <c r="J58" s="228">
        <v>8536415</v>
      </c>
      <c r="K58" s="52">
        <v>2024</v>
      </c>
      <c r="L58" s="52" t="s">
        <v>1769</v>
      </c>
      <c r="M58" s="228">
        <v>17980083</v>
      </c>
      <c r="N58" s="52">
        <v>2023</v>
      </c>
      <c r="O58" s="44">
        <f t="shared" si="0"/>
        <v>0.47477061145935756</v>
      </c>
      <c r="P58" s="227">
        <v>4.83</v>
      </c>
      <c r="Q58" s="227">
        <v>9.25</v>
      </c>
      <c r="R58" s="227">
        <v>13.37</v>
      </c>
      <c r="S58" s="227">
        <v>20.2</v>
      </c>
      <c r="T58" s="227">
        <v>52.36</v>
      </c>
      <c r="U58" s="233">
        <f t="shared" si="5"/>
        <v>1855.053180730255</v>
      </c>
      <c r="V58" s="233">
        <f t="shared" si="1"/>
        <v>3552.6380790382732</v>
      </c>
      <c r="W58" s="233">
        <f t="shared" si="2"/>
        <v>5135.002282890995</v>
      </c>
      <c r="X58" s="233">
        <f t="shared" si="3"/>
        <v>7758.1934266565531</v>
      </c>
      <c r="Y58" s="233">
        <f t="shared" si="4"/>
        <v>20109.851872264211</v>
      </c>
      <c r="Z58" s="58">
        <f t="shared" si="6"/>
        <v>2703.8456298842639</v>
      </c>
      <c r="AA58" s="58">
        <f t="shared" si="7"/>
        <v>5135.002282890995</v>
      </c>
      <c r="AB58" s="58">
        <f t="shared" si="8"/>
        <v>20109.851872264211</v>
      </c>
    </row>
    <row r="59" spans="1:28">
      <c r="A59" s="52" t="s">
        <v>416</v>
      </c>
      <c r="B59" s="52" t="s">
        <v>417</v>
      </c>
      <c r="C59" s="52" t="s">
        <v>117</v>
      </c>
      <c r="D59" s="52" t="s">
        <v>325</v>
      </c>
      <c r="E59" s="225">
        <v>396002496996.95966</v>
      </c>
      <c r="F59" s="52">
        <v>2023</v>
      </c>
      <c r="G59" s="57" t="s">
        <v>1763</v>
      </c>
      <c r="H59" s="226">
        <v>41.847999999999999</v>
      </c>
      <c r="I59" s="52">
        <v>2024</v>
      </c>
      <c r="J59" s="228">
        <v>32050486</v>
      </c>
      <c r="K59" s="52">
        <v>2023</v>
      </c>
      <c r="L59" s="52" t="s">
        <v>1769</v>
      </c>
      <c r="M59" s="228">
        <v>114535772</v>
      </c>
      <c r="N59" s="52">
        <v>2023</v>
      </c>
      <c r="O59" s="44">
        <f t="shared" si="0"/>
        <v>0.27982948418944609</v>
      </c>
      <c r="P59" s="227">
        <v>8.06</v>
      </c>
      <c r="Q59" s="227">
        <v>11.88</v>
      </c>
      <c r="R59" s="227">
        <v>15.4</v>
      </c>
      <c r="S59" s="227">
        <v>20.56</v>
      </c>
      <c r="T59" s="227">
        <v>44.1</v>
      </c>
      <c r="U59" s="233">
        <f t="shared" si="5"/>
        <v>2083.737742764491</v>
      </c>
      <c r="V59" s="233">
        <f t="shared" si="1"/>
        <v>3071.3156804022524</v>
      </c>
      <c r="W59" s="233">
        <f t="shared" si="2"/>
        <v>3981.3351412621791</v>
      </c>
      <c r="X59" s="233">
        <f t="shared" si="3"/>
        <v>5315.3409418409337</v>
      </c>
      <c r="Y59" s="233">
        <f t="shared" si="4"/>
        <v>11401.096086341693</v>
      </c>
      <c r="Z59" s="58">
        <f t="shared" si="6"/>
        <v>2577.5267115833717</v>
      </c>
      <c r="AA59" s="58">
        <f t="shared" si="7"/>
        <v>3981.3351412621791</v>
      </c>
      <c r="AB59" s="58">
        <f t="shared" si="8"/>
        <v>11401.096086341693</v>
      </c>
    </row>
    <row r="60" spans="1:28">
      <c r="A60" s="52" t="s">
        <v>696</v>
      </c>
      <c r="B60" s="52" t="s">
        <v>697</v>
      </c>
      <c r="C60" s="52" t="s">
        <v>119</v>
      </c>
      <c r="D60" s="52" t="s">
        <v>319</v>
      </c>
      <c r="E60" s="225">
        <v>2065001626.0162599</v>
      </c>
      <c r="F60" s="52">
        <v>2011</v>
      </c>
      <c r="G60" s="57" t="s">
        <v>1763</v>
      </c>
      <c r="H60" s="226">
        <v>37.118000000000002</v>
      </c>
      <c r="I60" s="52">
        <v>2024</v>
      </c>
      <c r="J60" s="228">
        <v>1666000</v>
      </c>
      <c r="K60" s="52">
        <v>2023</v>
      </c>
      <c r="L60" s="52" t="s">
        <v>1770</v>
      </c>
      <c r="M60" s="228">
        <v>3470390</v>
      </c>
      <c r="N60" s="52">
        <v>2023</v>
      </c>
      <c r="O60" s="44">
        <f t="shared" si="0"/>
        <v>0.48006131875668151</v>
      </c>
      <c r="P60" s="227">
        <v>3.38</v>
      </c>
      <c r="Q60" s="227">
        <v>7</v>
      </c>
      <c r="R60" s="227">
        <v>11.13</v>
      </c>
      <c r="S60" s="227">
        <v>19.04</v>
      </c>
      <c r="T60" s="227">
        <v>59.44</v>
      </c>
      <c r="U60" s="233">
        <f t="shared" si="5"/>
        <v>77.752913744932101</v>
      </c>
      <c r="V60" s="233">
        <f t="shared" si="1"/>
        <v>161.02674444216711</v>
      </c>
      <c r="W60" s="233">
        <f t="shared" si="2"/>
        <v>256.03252366304571</v>
      </c>
      <c r="X60" s="233">
        <f t="shared" si="3"/>
        <v>437.99274488269441</v>
      </c>
      <c r="Y60" s="233">
        <f t="shared" si="4"/>
        <v>1367.3470985203444</v>
      </c>
      <c r="Z60" s="58">
        <f t="shared" si="6"/>
        <v>119.38982909354961</v>
      </c>
      <c r="AA60" s="58">
        <f t="shared" si="7"/>
        <v>256.03252366304571</v>
      </c>
      <c r="AB60" s="58">
        <f t="shared" si="8"/>
        <v>1367.3470985203444</v>
      </c>
    </row>
    <row r="61" spans="1:28">
      <c r="A61" s="52" t="s">
        <v>612</v>
      </c>
      <c r="B61" s="52" t="s">
        <v>613</v>
      </c>
      <c r="C61" s="52" t="s">
        <v>115</v>
      </c>
      <c r="D61" s="52" t="s">
        <v>121</v>
      </c>
      <c r="E61" s="225">
        <v>1620090734956.8914</v>
      </c>
      <c r="F61" s="52">
        <v>2023</v>
      </c>
      <c r="G61" s="57" t="s">
        <v>1763</v>
      </c>
      <c r="H61" s="226">
        <v>57.921999999999997</v>
      </c>
      <c r="I61" s="52">
        <v>2024</v>
      </c>
      <c r="J61" s="228">
        <v>24424585</v>
      </c>
      <c r="K61" s="52">
        <v>2024</v>
      </c>
      <c r="L61" s="52" t="s">
        <v>1769</v>
      </c>
      <c r="M61" s="228">
        <v>48347910</v>
      </c>
      <c r="N61" s="52">
        <v>2023</v>
      </c>
      <c r="O61" s="44">
        <f t="shared" si="0"/>
        <v>0.50518388488768184</v>
      </c>
      <c r="P61" s="227">
        <v>6.13</v>
      </c>
      <c r="Q61" s="227">
        <v>12.31</v>
      </c>
      <c r="R61" s="227">
        <v>17.239999999999998</v>
      </c>
      <c r="S61" s="227">
        <v>23.62</v>
      </c>
      <c r="T61" s="227">
        <v>40.68</v>
      </c>
      <c r="U61" s="233">
        <f t="shared" si="5"/>
        <v>11775.684821718789</v>
      </c>
      <c r="V61" s="233">
        <f t="shared" si="1"/>
        <v>23647.419274936099</v>
      </c>
      <c r="W61" s="233">
        <f t="shared" si="2"/>
        <v>33117.912940690359</v>
      </c>
      <c r="X61" s="233">
        <f t="shared" si="3"/>
        <v>45373.84591990176</v>
      </c>
      <c r="Y61" s="233">
        <f t="shared" si="4"/>
        <v>78145.980187197434</v>
      </c>
      <c r="Z61" s="58">
        <f t="shared" si="6"/>
        <v>17711.552048327445</v>
      </c>
      <c r="AA61" s="58">
        <f t="shared" si="7"/>
        <v>33117.912940690359</v>
      </c>
      <c r="AB61" s="58">
        <f t="shared" si="8"/>
        <v>78145.980187197434</v>
      </c>
    </row>
    <row r="62" spans="1:28">
      <c r="A62" s="52" t="s">
        <v>422</v>
      </c>
      <c r="B62" s="52" t="s">
        <v>423</v>
      </c>
      <c r="C62" s="52" t="s">
        <v>115</v>
      </c>
      <c r="D62" s="52" t="s">
        <v>121</v>
      </c>
      <c r="E62" s="225">
        <v>41291245222.194847</v>
      </c>
      <c r="F62" s="52">
        <v>2023</v>
      </c>
      <c r="G62" s="57" t="s">
        <v>1763</v>
      </c>
      <c r="H62" s="226">
        <v>58.595999999999997</v>
      </c>
      <c r="I62" s="52">
        <v>2024</v>
      </c>
      <c r="J62" s="228">
        <v>747690</v>
      </c>
      <c r="K62" s="52">
        <v>2023</v>
      </c>
      <c r="L62" s="52" t="s">
        <v>1769</v>
      </c>
      <c r="M62" s="228">
        <v>1370286</v>
      </c>
      <c r="N62" s="52">
        <v>2023</v>
      </c>
      <c r="O62" s="44">
        <f t="shared" si="0"/>
        <v>0.54564521567030533</v>
      </c>
      <c r="P62" s="227">
        <v>8.08</v>
      </c>
      <c r="Q62" s="227">
        <v>12.83</v>
      </c>
      <c r="R62" s="227">
        <v>16.88</v>
      </c>
      <c r="S62" s="227">
        <v>23.23</v>
      </c>
      <c r="T62" s="227">
        <v>38.99</v>
      </c>
      <c r="U62" s="233">
        <f t="shared" si="5"/>
        <v>13073.315534995123</v>
      </c>
      <c r="V62" s="233">
        <f t="shared" si="1"/>
        <v>20758.742365592505</v>
      </c>
      <c r="W62" s="233">
        <f t="shared" si="2"/>
        <v>27311.579979049216</v>
      </c>
      <c r="X62" s="233">
        <f t="shared" si="3"/>
        <v>37585.782163110991</v>
      </c>
      <c r="Y62" s="233">
        <f t="shared" si="4"/>
        <v>63085.219394735141</v>
      </c>
      <c r="Z62" s="58">
        <f t="shared" si="6"/>
        <v>16916.028950293814</v>
      </c>
      <c r="AA62" s="58">
        <f t="shared" si="7"/>
        <v>27311.579979049216</v>
      </c>
      <c r="AB62" s="58">
        <f t="shared" si="8"/>
        <v>63085.219394735141</v>
      </c>
    </row>
    <row r="63" spans="1:28">
      <c r="A63" s="52" t="s">
        <v>424</v>
      </c>
      <c r="B63" s="52" t="s">
        <v>425</v>
      </c>
      <c r="C63" s="52" t="s">
        <v>119</v>
      </c>
      <c r="D63" s="52" t="s">
        <v>319</v>
      </c>
      <c r="E63" s="225">
        <v>163697927593.98236</v>
      </c>
      <c r="F63" s="52">
        <v>2023</v>
      </c>
      <c r="G63" s="57" t="s">
        <v>1763</v>
      </c>
      <c r="H63" s="226">
        <v>39.871000000000002</v>
      </c>
      <c r="I63" s="52">
        <v>2024</v>
      </c>
      <c r="J63" s="228">
        <v>38561783</v>
      </c>
      <c r="K63" s="52">
        <v>2021</v>
      </c>
      <c r="L63" s="52" t="s">
        <v>1769</v>
      </c>
      <c r="M63" s="228">
        <v>128691692</v>
      </c>
      <c r="N63" s="52">
        <v>2023</v>
      </c>
      <c r="O63" s="44">
        <f t="shared" si="0"/>
        <v>0.2996446965667372</v>
      </c>
      <c r="P63" s="227">
        <v>4.0199999999999996</v>
      </c>
      <c r="Q63" s="227">
        <v>8.19</v>
      </c>
      <c r="R63" s="227">
        <v>12.47</v>
      </c>
      <c r="S63" s="227">
        <v>19.11</v>
      </c>
      <c r="T63" s="227">
        <v>56.2</v>
      </c>
      <c r="U63" s="233">
        <f t="shared" si="5"/>
        <v>340.20387861500944</v>
      </c>
      <c r="V63" s="233">
        <f t="shared" si="1"/>
        <v>693.10193180520594</v>
      </c>
      <c r="W63" s="233">
        <f t="shared" si="2"/>
        <v>1055.3090463505393</v>
      </c>
      <c r="X63" s="233">
        <f t="shared" si="3"/>
        <v>1617.237840878814</v>
      </c>
      <c r="Y63" s="233">
        <f t="shared" si="4"/>
        <v>4756.084074170034</v>
      </c>
      <c r="Z63" s="58">
        <f t="shared" si="6"/>
        <v>516.65290521010775</v>
      </c>
      <c r="AA63" s="58">
        <f t="shared" si="7"/>
        <v>1055.3090463505393</v>
      </c>
      <c r="AB63" s="58">
        <f t="shared" si="8"/>
        <v>4756.084074170034</v>
      </c>
    </row>
    <row r="64" spans="1:28">
      <c r="A64" s="52" t="s">
        <v>428</v>
      </c>
      <c r="B64" s="52" t="s">
        <v>429</v>
      </c>
      <c r="C64" s="52" t="s">
        <v>115</v>
      </c>
      <c r="D64" s="52" t="s">
        <v>121</v>
      </c>
      <c r="E64" s="225">
        <v>295532341254.90717</v>
      </c>
      <c r="F64" s="52">
        <v>2023</v>
      </c>
      <c r="G64" s="57" t="s">
        <v>1763</v>
      </c>
      <c r="H64" s="226">
        <v>54.970999999999997</v>
      </c>
      <c r="I64" s="52">
        <v>2024</v>
      </c>
      <c r="J64" s="228">
        <v>2851768</v>
      </c>
      <c r="K64" s="52">
        <v>2023</v>
      </c>
      <c r="L64" s="52" t="s">
        <v>1769</v>
      </c>
      <c r="M64" s="228">
        <v>5583911</v>
      </c>
      <c r="N64" s="52">
        <v>2023</v>
      </c>
      <c r="O64" s="44">
        <f t="shared" si="0"/>
        <v>0.51071157831849401</v>
      </c>
      <c r="P64" s="227">
        <v>9.23</v>
      </c>
      <c r="Q64" s="227">
        <v>13.85</v>
      </c>
      <c r="R64" s="227">
        <v>17.420000000000002</v>
      </c>
      <c r="S64" s="227">
        <v>22.26</v>
      </c>
      <c r="T64" s="227">
        <v>37.24</v>
      </c>
      <c r="U64" s="233">
        <f t="shared" si="5"/>
        <v>26290.337765251228</v>
      </c>
      <c r="V64" s="233">
        <f t="shared" si="1"/>
        <v>39449.74843431521</v>
      </c>
      <c r="W64" s="233">
        <f t="shared" si="2"/>
        <v>49618.383951319214</v>
      </c>
      <c r="X64" s="233">
        <f t="shared" si="3"/>
        <v>63404.433223671964</v>
      </c>
      <c r="Y64" s="233">
        <f t="shared" si="4"/>
        <v>106072.82539306128</v>
      </c>
      <c r="Z64" s="58">
        <f t="shared" si="6"/>
        <v>32870.043099783215</v>
      </c>
      <c r="AA64" s="58">
        <f t="shared" si="7"/>
        <v>49618.383951319214</v>
      </c>
      <c r="AB64" s="58">
        <f t="shared" si="8"/>
        <v>106072.82539306128</v>
      </c>
    </row>
    <row r="65" spans="1:28">
      <c r="A65" s="52" t="s">
        <v>426</v>
      </c>
      <c r="B65" s="52" t="s">
        <v>427</v>
      </c>
      <c r="C65" s="52" t="s">
        <v>114</v>
      </c>
      <c r="D65" s="52" t="s">
        <v>322</v>
      </c>
      <c r="E65" s="225">
        <v>5442046565.0471859</v>
      </c>
      <c r="F65" s="52">
        <v>2023</v>
      </c>
      <c r="G65" s="57" t="s">
        <v>1763</v>
      </c>
      <c r="H65" s="226">
        <v>42.970999999999997</v>
      </c>
      <c r="I65" s="52">
        <v>2024</v>
      </c>
      <c r="J65" s="228">
        <v>341830</v>
      </c>
      <c r="K65" s="52">
        <v>2016</v>
      </c>
      <c r="L65" s="52" t="s">
        <v>1769</v>
      </c>
      <c r="M65" s="228">
        <v>924145</v>
      </c>
      <c r="N65" s="52">
        <v>2023</v>
      </c>
      <c r="O65" s="44">
        <f t="shared" si="0"/>
        <v>0.36988784227583332</v>
      </c>
      <c r="P65" s="227">
        <v>7.1</v>
      </c>
      <c r="Q65" s="227">
        <v>11.87</v>
      </c>
      <c r="R65" s="227">
        <v>16.62</v>
      </c>
      <c r="S65" s="227">
        <v>23.09</v>
      </c>
      <c r="T65" s="227">
        <v>41.32</v>
      </c>
      <c r="U65" s="233">
        <f t="shared" si="5"/>
        <v>2428.599448440983</v>
      </c>
      <c r="V65" s="233">
        <f t="shared" si="1"/>
        <v>4060.2078102809114</v>
      </c>
      <c r="W65" s="233">
        <f t="shared" si="2"/>
        <v>5684.9750469139635</v>
      </c>
      <c r="X65" s="233">
        <f t="shared" si="3"/>
        <v>7898.0790513383527</v>
      </c>
      <c r="Y65" s="233">
        <f t="shared" si="4"/>
        <v>14133.764677405836</v>
      </c>
      <c r="Z65" s="58">
        <f t="shared" si="6"/>
        <v>3244.403629360947</v>
      </c>
      <c r="AA65" s="58">
        <f t="shared" si="7"/>
        <v>5684.9750469139635</v>
      </c>
      <c r="AB65" s="58">
        <f t="shared" si="8"/>
        <v>14133.764677405836</v>
      </c>
    </row>
    <row r="66" spans="1:28">
      <c r="A66" s="52" t="s">
        <v>55</v>
      </c>
      <c r="B66" s="52" t="s">
        <v>56</v>
      </c>
      <c r="C66" s="52" t="s">
        <v>115</v>
      </c>
      <c r="D66" s="52" t="s">
        <v>121</v>
      </c>
      <c r="E66" s="225">
        <v>3051831611384.7598</v>
      </c>
      <c r="F66" s="52">
        <v>2023</v>
      </c>
      <c r="G66" s="57" t="s">
        <v>1763</v>
      </c>
      <c r="H66" s="226">
        <v>60.146999999999998</v>
      </c>
      <c r="I66" s="52">
        <v>2024</v>
      </c>
      <c r="J66" s="228">
        <v>30851495</v>
      </c>
      <c r="K66" s="52">
        <v>2023</v>
      </c>
      <c r="L66" s="52" t="s">
        <v>1769</v>
      </c>
      <c r="M66" s="228">
        <v>68287487</v>
      </c>
      <c r="N66" s="52">
        <v>2023</v>
      </c>
      <c r="O66" s="44">
        <f t="shared" ref="O66:O129" si="9">J66/M66</f>
        <v>0.4517884074427867</v>
      </c>
      <c r="P66" s="227">
        <v>6.95</v>
      </c>
      <c r="Q66" s="227">
        <v>12.79</v>
      </c>
      <c r="R66" s="227">
        <v>17.27</v>
      </c>
      <c r="S66" s="227">
        <v>22.71</v>
      </c>
      <c r="T66" s="227">
        <v>40.29</v>
      </c>
      <c r="U66" s="233">
        <f t="shared" si="5"/>
        <v>20675.362502096184</v>
      </c>
      <c r="V66" s="233">
        <f t="shared" ref="V66:V129" si="10">(Q66/100)*$E66*($H66/100)/($J66*0.2)</f>
        <v>38048.6167484619</v>
      </c>
      <c r="W66" s="233">
        <f t="shared" ref="W66:W129" si="11">(R66/100)*$E66*($H66/100)/($J66*0.2)</f>
        <v>51376.044663482178</v>
      </c>
      <c r="X66" s="233">
        <f t="shared" ref="X66:X129" si="12">(S66/100)*$E66*($H66/100)/($J66*0.2)</f>
        <v>67559.349988863934</v>
      </c>
      <c r="Y66" s="233">
        <f t="shared" ref="Y66:Y129" si="13">(T66/100)*$E66*($H66/100)/($J66*0.2)</f>
        <v>119857.60506610868</v>
      </c>
      <c r="Z66" s="58">
        <f t="shared" si="6"/>
        <v>29361.989625279042</v>
      </c>
      <c r="AA66" s="58">
        <f t="shared" si="7"/>
        <v>51376.044663482178</v>
      </c>
      <c r="AB66" s="58">
        <f t="shared" si="8"/>
        <v>119857.60506610868</v>
      </c>
    </row>
    <row r="67" spans="1:28">
      <c r="A67" s="52" t="s">
        <v>748</v>
      </c>
      <c r="B67" s="52" t="s">
        <v>749</v>
      </c>
      <c r="C67" s="52" t="s">
        <v>115</v>
      </c>
      <c r="D67" s="52" t="s">
        <v>121</v>
      </c>
      <c r="E67" s="225">
        <v>3907323961.3396373</v>
      </c>
      <c r="F67" s="52">
        <v>2023</v>
      </c>
      <c r="G67" s="57" t="s">
        <v>1763</v>
      </c>
      <c r="H67" s="226">
        <v>57.1</v>
      </c>
      <c r="I67" s="52">
        <v>2024</v>
      </c>
      <c r="J67" s="228">
        <v>27540</v>
      </c>
      <c r="K67" s="52">
        <v>2017</v>
      </c>
      <c r="L67" s="52" t="s">
        <v>1770</v>
      </c>
      <c r="M67" s="228">
        <v>54482</v>
      </c>
      <c r="N67" s="52">
        <v>2023</v>
      </c>
      <c r="O67" s="44">
        <f t="shared" si="9"/>
        <v>0.50548805109944572</v>
      </c>
      <c r="P67" s="227">
        <v>7.9029411764705912</v>
      </c>
      <c r="Q67" s="227">
        <v>13.135882352941175</v>
      </c>
      <c r="R67" s="227">
        <v>17.265588235294121</v>
      </c>
      <c r="S67" s="227">
        <v>22.71970588235294</v>
      </c>
      <c r="T67" s="227">
        <v>38.974117647058833</v>
      </c>
      <c r="U67" s="233">
        <f t="shared" ref="U67:U130" si="14">(P67/100)*$E67*($H67/100)/($J67*0.2)</f>
        <v>32011.818560341639</v>
      </c>
      <c r="V67" s="233">
        <f t="shared" si="10"/>
        <v>53208.479365164763</v>
      </c>
      <c r="W67" s="233">
        <f t="shared" si="11"/>
        <v>69936.352249636548</v>
      </c>
      <c r="X67" s="233">
        <f t="shared" si="12"/>
        <v>92028.915084879365</v>
      </c>
      <c r="Y67" s="233">
        <f t="shared" si="13"/>
        <v>157869.3748071451</v>
      </c>
      <c r="Z67" s="58">
        <f t="shared" ref="Z67:Z130" si="15">AVERAGE(U67:V67)</f>
        <v>42610.148962753199</v>
      </c>
      <c r="AA67" s="58">
        <f t="shared" ref="AA67:AA130" si="16">W67</f>
        <v>69936.352249636548</v>
      </c>
      <c r="AB67" s="58">
        <f t="shared" ref="AB67:AB130" si="17">Y67</f>
        <v>157869.3748071451</v>
      </c>
    </row>
    <row r="68" spans="1:28">
      <c r="A68" s="52" t="s">
        <v>528</v>
      </c>
      <c r="B68" s="52" t="s">
        <v>529</v>
      </c>
      <c r="C68" s="52" t="s">
        <v>114</v>
      </c>
      <c r="D68" s="52" t="s">
        <v>325</v>
      </c>
      <c r="E68" s="225">
        <v>460000000</v>
      </c>
      <c r="F68" s="52">
        <v>2023</v>
      </c>
      <c r="G68" s="57" t="s">
        <v>1763</v>
      </c>
      <c r="H68" s="226">
        <v>43.9</v>
      </c>
      <c r="I68" s="52">
        <v>2024</v>
      </c>
      <c r="J68" s="228">
        <v>39046</v>
      </c>
      <c r="K68" s="52">
        <v>2014</v>
      </c>
      <c r="L68" s="52" t="s">
        <v>1769</v>
      </c>
      <c r="M68" s="228">
        <v>112630</v>
      </c>
      <c r="N68" s="52">
        <v>2023</v>
      </c>
      <c r="O68" s="44">
        <f t="shared" si="9"/>
        <v>0.346674953387197</v>
      </c>
      <c r="P68" s="227">
        <v>5.48</v>
      </c>
      <c r="Q68" s="227">
        <v>10.36</v>
      </c>
      <c r="R68" s="227">
        <v>14.91</v>
      </c>
      <c r="S68" s="227">
        <v>21.74</v>
      </c>
      <c r="T68" s="227">
        <v>47.52</v>
      </c>
      <c r="U68" s="233">
        <f t="shared" si="14"/>
        <v>1417.086513343236</v>
      </c>
      <c r="V68" s="233">
        <f t="shared" si="10"/>
        <v>2679.0175690211545</v>
      </c>
      <c r="W68" s="233">
        <f t="shared" si="11"/>
        <v>3855.6131229831476</v>
      </c>
      <c r="X68" s="233">
        <f t="shared" si="12"/>
        <v>5621.7994160733479</v>
      </c>
      <c r="Y68" s="233">
        <f t="shared" si="13"/>
        <v>12288.31224709317</v>
      </c>
      <c r="Z68" s="58">
        <f t="shared" si="15"/>
        <v>2048.0520411821954</v>
      </c>
      <c r="AA68" s="58">
        <f t="shared" si="16"/>
        <v>3855.6131229831476</v>
      </c>
      <c r="AB68" s="58">
        <f t="shared" si="17"/>
        <v>12288.31224709317</v>
      </c>
    </row>
    <row r="69" spans="1:28">
      <c r="A69" s="52" t="s">
        <v>430</v>
      </c>
      <c r="B69" s="52" t="s">
        <v>431</v>
      </c>
      <c r="C69" s="52" t="s">
        <v>119</v>
      </c>
      <c r="D69" s="52" t="s">
        <v>322</v>
      </c>
      <c r="E69" s="225">
        <v>19388402541.669777</v>
      </c>
      <c r="F69" s="52">
        <v>2023</v>
      </c>
      <c r="G69" s="57" t="s">
        <v>1763</v>
      </c>
      <c r="H69" s="226">
        <v>27.004999999999999</v>
      </c>
      <c r="I69" s="52">
        <v>2024</v>
      </c>
      <c r="J69" s="228">
        <v>771000</v>
      </c>
      <c r="K69" s="52">
        <v>2023</v>
      </c>
      <c r="L69" s="52" t="s">
        <v>1770</v>
      </c>
      <c r="M69" s="228">
        <v>2484789</v>
      </c>
      <c r="N69" s="52">
        <v>2023</v>
      </c>
      <c r="O69" s="44">
        <f t="shared" si="9"/>
        <v>0.31028791579486226</v>
      </c>
      <c r="P69" s="227">
        <v>4.59</v>
      </c>
      <c r="Q69" s="227">
        <v>8.31</v>
      </c>
      <c r="R69" s="227">
        <v>13.32</v>
      </c>
      <c r="S69" s="227">
        <v>21.82</v>
      </c>
      <c r="T69" s="227">
        <v>51.94</v>
      </c>
      <c r="U69" s="233">
        <f t="shared" si="14"/>
        <v>1558.5276853615219</v>
      </c>
      <c r="V69" s="233">
        <f t="shared" si="10"/>
        <v>2821.6481623865466</v>
      </c>
      <c r="W69" s="233">
        <f t="shared" si="11"/>
        <v>4522.7862241863777</v>
      </c>
      <c r="X69" s="233">
        <f t="shared" si="12"/>
        <v>7408.9486044854921</v>
      </c>
      <c r="Y69" s="233">
        <f t="shared" si="13"/>
        <v>17636.149886204239</v>
      </c>
      <c r="Z69" s="58">
        <f t="shared" si="15"/>
        <v>2190.0879238740345</v>
      </c>
      <c r="AA69" s="58">
        <f t="shared" si="16"/>
        <v>4522.7862241863777</v>
      </c>
      <c r="AB69" s="58">
        <f t="shared" si="17"/>
        <v>17636.149886204239</v>
      </c>
    </row>
    <row r="70" spans="1:28">
      <c r="A70" s="52" t="s">
        <v>662</v>
      </c>
      <c r="B70" s="52" t="s">
        <v>663</v>
      </c>
      <c r="C70" s="52" t="s">
        <v>115</v>
      </c>
      <c r="D70" s="52" t="s">
        <v>121</v>
      </c>
      <c r="E70" s="225">
        <v>3380854520809.5371</v>
      </c>
      <c r="F70" s="52">
        <v>2023</v>
      </c>
      <c r="G70" s="57" t="s">
        <v>1763</v>
      </c>
      <c r="H70" s="226">
        <v>58.045999999999999</v>
      </c>
      <c r="I70" s="52">
        <v>2024</v>
      </c>
      <c r="J70" s="228">
        <v>34398622</v>
      </c>
      <c r="K70" s="52">
        <v>2023</v>
      </c>
      <c r="L70" s="52" t="s">
        <v>1769</v>
      </c>
      <c r="M70" s="228">
        <v>68350000</v>
      </c>
      <c r="N70" s="52">
        <v>2023</v>
      </c>
      <c r="O70" s="44">
        <f t="shared" si="9"/>
        <v>0.50327171909290414</v>
      </c>
      <c r="P70" s="227">
        <v>7.24</v>
      </c>
      <c r="Q70" s="227">
        <v>12.18</v>
      </c>
      <c r="R70" s="227">
        <v>16.73</v>
      </c>
      <c r="S70" s="227">
        <v>22.72</v>
      </c>
      <c r="T70" s="227">
        <v>41.13</v>
      </c>
      <c r="U70" s="233">
        <f t="shared" si="14"/>
        <v>20652.199238794379</v>
      </c>
      <c r="V70" s="233">
        <f t="shared" si="10"/>
        <v>34743.616951452415</v>
      </c>
      <c r="W70" s="233">
        <f t="shared" si="11"/>
        <v>47722.554318374299</v>
      </c>
      <c r="X70" s="233">
        <f t="shared" si="12"/>
        <v>64809.111423398928</v>
      </c>
      <c r="Y70" s="233">
        <f t="shared" si="13"/>
        <v>117323.88876955978</v>
      </c>
      <c r="Z70" s="58">
        <f t="shared" si="15"/>
        <v>27697.908095123399</v>
      </c>
      <c r="AA70" s="58">
        <f t="shared" si="16"/>
        <v>47722.554318374299</v>
      </c>
      <c r="AB70" s="58">
        <f t="shared" si="17"/>
        <v>117323.88876955978</v>
      </c>
    </row>
    <row r="71" spans="1:28">
      <c r="A71" s="52" t="s">
        <v>434</v>
      </c>
      <c r="B71" s="52" t="s">
        <v>435</v>
      </c>
      <c r="C71" s="52" t="s">
        <v>115</v>
      </c>
      <c r="D71" s="52" t="s">
        <v>322</v>
      </c>
      <c r="E71" s="225">
        <v>30777833585.444084</v>
      </c>
      <c r="F71" s="52">
        <v>2023</v>
      </c>
      <c r="G71" s="57" t="s">
        <v>1763</v>
      </c>
      <c r="H71" s="226">
        <v>53.052</v>
      </c>
      <c r="I71" s="52">
        <v>2024</v>
      </c>
      <c r="J71" s="228">
        <v>2052101</v>
      </c>
      <c r="K71" s="52">
        <v>2022</v>
      </c>
      <c r="L71" s="52" t="s">
        <v>1769</v>
      </c>
      <c r="M71" s="228">
        <v>3715483</v>
      </c>
      <c r="N71" s="52">
        <v>2023</v>
      </c>
      <c r="O71" s="44">
        <f t="shared" si="9"/>
        <v>0.55231069554079515</v>
      </c>
      <c r="P71" s="227">
        <v>5.26</v>
      </c>
      <c r="Q71" s="227">
        <v>10.66</v>
      </c>
      <c r="R71" s="227">
        <v>15.72</v>
      </c>
      <c r="S71" s="227">
        <v>22.27</v>
      </c>
      <c r="T71" s="227">
        <v>46.09</v>
      </c>
      <c r="U71" s="233">
        <f t="shared" si="14"/>
        <v>2092.651092707521</v>
      </c>
      <c r="V71" s="233">
        <f t="shared" si="10"/>
        <v>4241.000123243758</v>
      </c>
      <c r="W71" s="233">
        <f t="shared" si="11"/>
        <v>6254.082733338827</v>
      </c>
      <c r="X71" s="233">
        <f t="shared" si="12"/>
        <v>8859.95053889667</v>
      </c>
      <c r="Y71" s="233">
        <f t="shared" si="13"/>
        <v>18336.556818039855</v>
      </c>
      <c r="Z71" s="58">
        <f t="shared" si="15"/>
        <v>3166.8256079756393</v>
      </c>
      <c r="AA71" s="58">
        <f t="shared" si="16"/>
        <v>6254.082733338827</v>
      </c>
      <c r="AB71" s="58">
        <f t="shared" si="17"/>
        <v>18336.556818039855</v>
      </c>
    </row>
    <row r="72" spans="1:28">
      <c r="A72" s="52" t="s">
        <v>438</v>
      </c>
      <c r="B72" s="52" t="s">
        <v>439</v>
      </c>
      <c r="C72" s="52" t="s">
        <v>119</v>
      </c>
      <c r="D72" s="52" t="s">
        <v>325</v>
      </c>
      <c r="E72" s="225">
        <v>76370396722.154022</v>
      </c>
      <c r="F72" s="52">
        <v>2023</v>
      </c>
      <c r="G72" s="57" t="s">
        <v>1763</v>
      </c>
      <c r="H72" s="226">
        <v>43.765000000000001</v>
      </c>
      <c r="I72" s="52">
        <v>2024</v>
      </c>
      <c r="J72" s="228">
        <v>12021200</v>
      </c>
      <c r="K72" s="52">
        <v>2022</v>
      </c>
      <c r="L72" s="52" t="s">
        <v>1769</v>
      </c>
      <c r="M72" s="228">
        <v>33787914</v>
      </c>
      <c r="N72" s="52">
        <v>2023</v>
      </c>
      <c r="O72" s="44">
        <f t="shared" si="9"/>
        <v>0.35578402383763613</v>
      </c>
      <c r="P72" s="227">
        <v>2.02</v>
      </c>
      <c r="Q72" s="227">
        <v>6.56</v>
      </c>
      <c r="R72" s="227">
        <v>11.58</v>
      </c>
      <c r="S72" s="227">
        <v>19.39</v>
      </c>
      <c r="T72" s="227">
        <v>60.45</v>
      </c>
      <c r="U72" s="233">
        <f t="shared" si="14"/>
        <v>280.81838058351252</v>
      </c>
      <c r="V72" s="233">
        <f t="shared" si="10"/>
        <v>911.96464189497124</v>
      </c>
      <c r="W72" s="233">
        <f t="shared" si="11"/>
        <v>1609.840023345087</v>
      </c>
      <c r="X72" s="233">
        <f t="shared" si="12"/>
        <v>2695.5784156011432</v>
      </c>
      <c r="Y72" s="233">
        <f t="shared" si="13"/>
        <v>8403.6985674620482</v>
      </c>
      <c r="Z72" s="58">
        <f t="shared" si="15"/>
        <v>596.39151123924194</v>
      </c>
      <c r="AA72" s="58">
        <f t="shared" si="16"/>
        <v>1609.840023345087</v>
      </c>
      <c r="AB72" s="58">
        <f t="shared" si="17"/>
        <v>8403.6985674620482</v>
      </c>
    </row>
    <row r="73" spans="1:28">
      <c r="A73" s="52" t="s">
        <v>750</v>
      </c>
      <c r="B73" s="52" t="s">
        <v>751</v>
      </c>
      <c r="C73" s="52" t="s">
        <v>115</v>
      </c>
      <c r="D73" s="52" t="s">
        <v>121</v>
      </c>
      <c r="E73" s="225">
        <f>2911*1000000</f>
        <v>2911000000</v>
      </c>
      <c r="F73" s="52">
        <v>2023</v>
      </c>
      <c r="G73" s="52" t="s">
        <v>1765</v>
      </c>
      <c r="H73" s="226">
        <v>57.1</v>
      </c>
      <c r="I73" s="52">
        <v>2024</v>
      </c>
      <c r="J73" s="228">
        <v>24420</v>
      </c>
      <c r="K73" s="52">
        <v>2014</v>
      </c>
      <c r="L73" s="52" t="s">
        <v>1770</v>
      </c>
      <c r="M73" s="228">
        <v>38471</v>
      </c>
      <c r="N73" s="52">
        <v>2023</v>
      </c>
      <c r="O73" s="44">
        <f t="shared" si="9"/>
        <v>0.63476384809336905</v>
      </c>
      <c r="P73" s="227">
        <v>7.9029411764705912</v>
      </c>
      <c r="Q73" s="227">
        <v>13.135882352941175</v>
      </c>
      <c r="R73" s="227">
        <v>17.265588235294121</v>
      </c>
      <c r="S73" s="227">
        <v>22.71970588235294</v>
      </c>
      <c r="T73" s="227">
        <v>38.974117647058833</v>
      </c>
      <c r="U73" s="233">
        <f t="shared" si="14"/>
        <v>26896.229868237238</v>
      </c>
      <c r="V73" s="233">
        <f t="shared" si="10"/>
        <v>44705.598004287713</v>
      </c>
      <c r="W73" s="233">
        <f t="shared" si="11"/>
        <v>58760.304501493491</v>
      </c>
      <c r="X73" s="233">
        <f t="shared" si="12"/>
        <v>77322.406722430984</v>
      </c>
      <c r="Y73" s="233">
        <f t="shared" si="13"/>
        <v>132641.35512839045</v>
      </c>
      <c r="Z73" s="58">
        <f t="shared" si="15"/>
        <v>35800.913936262477</v>
      </c>
      <c r="AA73" s="58">
        <f t="shared" si="16"/>
        <v>58760.304501493491</v>
      </c>
      <c r="AB73" s="58">
        <f t="shared" si="17"/>
        <v>132641.35512839045</v>
      </c>
    </row>
    <row r="74" spans="1:28">
      <c r="A74" s="52" t="s">
        <v>446</v>
      </c>
      <c r="B74" s="52" t="s">
        <v>447</v>
      </c>
      <c r="C74" s="52" t="s">
        <v>119</v>
      </c>
      <c r="D74" s="52" t="s">
        <v>325</v>
      </c>
      <c r="E74" s="225">
        <v>22199409741.257809</v>
      </c>
      <c r="F74" s="52">
        <v>2023</v>
      </c>
      <c r="G74" s="57" t="s">
        <v>1763</v>
      </c>
      <c r="H74" s="226">
        <v>36.738999999999997</v>
      </c>
      <c r="I74" s="52">
        <v>2024</v>
      </c>
      <c r="J74" s="228">
        <v>3357856</v>
      </c>
      <c r="K74" s="52">
        <v>2019</v>
      </c>
      <c r="L74" s="52" t="s">
        <v>1769</v>
      </c>
      <c r="M74" s="228">
        <v>14405468</v>
      </c>
      <c r="N74" s="52">
        <v>2023</v>
      </c>
      <c r="O74" s="44">
        <f t="shared" si="9"/>
        <v>0.23309593273887388</v>
      </c>
      <c r="P74" s="227">
        <v>4.93</v>
      </c>
      <c r="Q74" s="227">
        <v>8.86</v>
      </c>
      <c r="R74" s="227">
        <v>13.19</v>
      </c>
      <c r="S74" s="227">
        <v>20.43</v>
      </c>
      <c r="T74" s="227">
        <v>52.59</v>
      </c>
      <c r="U74" s="233">
        <f t="shared" si="14"/>
        <v>598.71979090325317</v>
      </c>
      <c r="V74" s="233">
        <f t="shared" si="10"/>
        <v>1075.9954051527025</v>
      </c>
      <c r="W74" s="233">
        <f t="shared" si="11"/>
        <v>1601.8486900636731</v>
      </c>
      <c r="X74" s="233">
        <f t="shared" si="12"/>
        <v>2481.1045290372135</v>
      </c>
      <c r="Y74" s="233">
        <f t="shared" si="13"/>
        <v>6386.7492502235464</v>
      </c>
      <c r="Z74" s="58">
        <f t="shared" si="15"/>
        <v>837.35759802797782</v>
      </c>
      <c r="AA74" s="58">
        <f t="shared" si="16"/>
        <v>1601.8486900636731</v>
      </c>
      <c r="AB74" s="58">
        <f t="shared" si="17"/>
        <v>6386.7492502235464</v>
      </c>
    </row>
    <row r="75" spans="1:28">
      <c r="A75" s="52" t="s">
        <v>432</v>
      </c>
      <c r="B75" s="52" t="s">
        <v>433</v>
      </c>
      <c r="C75" s="52" t="s">
        <v>119</v>
      </c>
      <c r="D75" s="52" t="s">
        <v>319</v>
      </c>
      <c r="E75" s="225">
        <v>2396111021.6414862</v>
      </c>
      <c r="F75" s="52">
        <v>2023</v>
      </c>
      <c r="G75" s="57" t="s">
        <v>1763</v>
      </c>
      <c r="H75" s="226">
        <v>40.482999999999997</v>
      </c>
      <c r="I75" s="52">
        <v>2024</v>
      </c>
      <c r="J75" s="228">
        <v>666366</v>
      </c>
      <c r="K75" s="52">
        <v>2023</v>
      </c>
      <c r="L75" s="52" t="s">
        <v>1769</v>
      </c>
      <c r="M75" s="228">
        <v>2697845</v>
      </c>
      <c r="N75" s="52">
        <v>2023</v>
      </c>
      <c r="O75" s="44">
        <f t="shared" si="9"/>
        <v>0.24699936430743796</v>
      </c>
      <c r="P75" s="227">
        <v>4.0999999999999996</v>
      </c>
      <c r="Q75" s="227">
        <v>7.87</v>
      </c>
      <c r="R75" s="227">
        <v>11.97</v>
      </c>
      <c r="S75" s="227">
        <v>19.52</v>
      </c>
      <c r="T75" s="227">
        <v>56.54</v>
      </c>
      <c r="U75" s="233">
        <f t="shared" si="14"/>
        <v>298.41500482119454</v>
      </c>
      <c r="V75" s="233">
        <f t="shared" si="10"/>
        <v>572.811240961659</v>
      </c>
      <c r="W75" s="233">
        <f t="shared" si="11"/>
        <v>871.22624578285354</v>
      </c>
      <c r="X75" s="233">
        <f t="shared" si="12"/>
        <v>1420.7465595389556</v>
      </c>
      <c r="Y75" s="233">
        <f t="shared" si="13"/>
        <v>4115.2157006317902</v>
      </c>
      <c r="Z75" s="58">
        <f t="shared" si="15"/>
        <v>435.61312289142677</v>
      </c>
      <c r="AA75" s="58">
        <f t="shared" si="16"/>
        <v>871.22624578285354</v>
      </c>
      <c r="AB75" s="58">
        <f t="shared" si="17"/>
        <v>4115.2157006317902</v>
      </c>
    </row>
    <row r="76" spans="1:28">
      <c r="A76" s="52" t="s">
        <v>448</v>
      </c>
      <c r="B76" s="52" t="s">
        <v>449</v>
      </c>
      <c r="C76" s="52" t="s">
        <v>119</v>
      </c>
      <c r="D76" s="52" t="s">
        <v>319</v>
      </c>
      <c r="E76" s="225">
        <v>2048348108.3585193</v>
      </c>
      <c r="F76" s="52">
        <v>2023</v>
      </c>
      <c r="G76" s="57" t="s">
        <v>1763</v>
      </c>
      <c r="H76" s="226">
        <v>36.988</v>
      </c>
      <c r="I76" s="52">
        <v>2024</v>
      </c>
      <c r="J76" s="228">
        <v>731010</v>
      </c>
      <c r="K76" s="52">
        <v>2022</v>
      </c>
      <c r="L76" s="52" t="s">
        <v>1769</v>
      </c>
      <c r="M76" s="228">
        <v>2153339</v>
      </c>
      <c r="N76" s="52">
        <v>2023</v>
      </c>
      <c r="O76" s="44">
        <f t="shared" si="9"/>
        <v>0.33947743481170406</v>
      </c>
      <c r="P76" s="227">
        <v>4.4400000000000004</v>
      </c>
      <c r="Q76" s="227">
        <v>7.91</v>
      </c>
      <c r="R76" s="227">
        <v>12.04</v>
      </c>
      <c r="S76" s="227">
        <v>19.559999999999999</v>
      </c>
      <c r="T76" s="227">
        <v>56.05</v>
      </c>
      <c r="U76" s="233">
        <f t="shared" si="14"/>
        <v>230.08815970638173</v>
      </c>
      <c r="V76" s="233">
        <f t="shared" si="10"/>
        <v>409.90931154898192</v>
      </c>
      <c r="W76" s="233">
        <f t="shared" si="11"/>
        <v>623.93275740198999</v>
      </c>
      <c r="X76" s="233">
        <f t="shared" si="12"/>
        <v>1013.6316224902763</v>
      </c>
      <c r="Y76" s="233">
        <f t="shared" si="13"/>
        <v>2904.6039080051114</v>
      </c>
      <c r="Z76" s="58">
        <f t="shared" si="15"/>
        <v>319.99873562768181</v>
      </c>
      <c r="AA76" s="58">
        <f t="shared" si="16"/>
        <v>623.93275740198999</v>
      </c>
      <c r="AB76" s="58">
        <f t="shared" si="17"/>
        <v>2904.6039080051114</v>
      </c>
    </row>
    <row r="77" spans="1:28">
      <c r="A77" s="52" t="s">
        <v>420</v>
      </c>
      <c r="B77" s="52" t="s">
        <v>421</v>
      </c>
      <c r="C77" s="52" t="s">
        <v>119</v>
      </c>
      <c r="D77" s="52" t="s">
        <v>322</v>
      </c>
      <c r="E77" s="225">
        <v>12337550583.753971</v>
      </c>
      <c r="F77" s="52">
        <v>2023</v>
      </c>
      <c r="G77" s="57" t="s">
        <v>1763</v>
      </c>
      <c r="H77" s="226">
        <v>47.588999999999999</v>
      </c>
      <c r="I77" s="52">
        <v>2024</v>
      </c>
      <c r="J77" s="228">
        <v>645000</v>
      </c>
      <c r="K77" s="52">
        <v>2023</v>
      </c>
      <c r="L77" s="52" t="s">
        <v>1770</v>
      </c>
      <c r="M77" s="228">
        <v>1847549</v>
      </c>
      <c r="N77" s="52">
        <v>2023</v>
      </c>
      <c r="O77" s="44">
        <f t="shared" si="9"/>
        <v>0.34911117377671713</v>
      </c>
      <c r="P77" s="227">
        <v>1.82</v>
      </c>
      <c r="Q77" s="227">
        <v>6.02</v>
      </c>
      <c r="R77" s="227">
        <v>12.12</v>
      </c>
      <c r="S77" s="227">
        <v>21.91</v>
      </c>
      <c r="T77" s="227">
        <v>58.14</v>
      </c>
      <c r="U77" s="233">
        <f t="shared" si="14"/>
        <v>828.35634450316843</v>
      </c>
      <c r="V77" s="233">
        <f t="shared" si="10"/>
        <v>2739.9479087412492</v>
      </c>
      <c r="W77" s="233">
        <f t="shared" si="11"/>
        <v>5516.3070853727477</v>
      </c>
      <c r="X77" s="233">
        <f t="shared" si="12"/>
        <v>9972.1359934419888</v>
      </c>
      <c r="Y77" s="233">
        <f t="shared" si="13"/>
        <v>26461.888939238579</v>
      </c>
      <c r="Z77" s="58">
        <f t="shared" si="15"/>
        <v>1784.1521266222089</v>
      </c>
      <c r="AA77" s="58">
        <f t="shared" si="16"/>
        <v>5516.3070853727477</v>
      </c>
      <c r="AB77" s="58">
        <f t="shared" si="17"/>
        <v>26461.888939238579</v>
      </c>
    </row>
    <row r="78" spans="1:28">
      <c r="A78" s="52" t="s">
        <v>440</v>
      </c>
      <c r="B78" s="52" t="s">
        <v>441</v>
      </c>
      <c r="C78" s="52" t="s">
        <v>115</v>
      </c>
      <c r="D78" s="52" t="s">
        <v>121</v>
      </c>
      <c r="E78" s="225">
        <v>243498333237.80234</v>
      </c>
      <c r="F78" s="52">
        <v>2023</v>
      </c>
      <c r="G78" s="57" t="s">
        <v>1763</v>
      </c>
      <c r="H78" s="226">
        <v>55.923999999999999</v>
      </c>
      <c r="I78" s="52">
        <v>2024</v>
      </c>
      <c r="J78" s="228">
        <v>4712959</v>
      </c>
      <c r="K78" s="52">
        <v>2023</v>
      </c>
      <c r="L78" s="52" t="s">
        <v>1769</v>
      </c>
      <c r="M78" s="228">
        <v>10405588</v>
      </c>
      <c r="N78" s="52">
        <v>2023</v>
      </c>
      <c r="O78" s="44">
        <f t="shared" si="9"/>
        <v>0.45292577411290935</v>
      </c>
      <c r="P78" s="227">
        <v>7.2</v>
      </c>
      <c r="Q78" s="227">
        <v>12.71</v>
      </c>
      <c r="R78" s="227">
        <v>17.21</v>
      </c>
      <c r="S78" s="227">
        <v>23.04</v>
      </c>
      <c r="T78" s="227">
        <v>39.840000000000003</v>
      </c>
      <c r="U78" s="233">
        <f t="shared" si="14"/>
        <v>10401.669701936104</v>
      </c>
      <c r="V78" s="233">
        <f t="shared" si="10"/>
        <v>18361.836376612209</v>
      </c>
      <c r="W78" s="233">
        <f t="shared" si="11"/>
        <v>24862.879940322277</v>
      </c>
      <c r="X78" s="233">
        <f t="shared" si="12"/>
        <v>33285.343046195536</v>
      </c>
      <c r="Y78" s="233">
        <f t="shared" si="13"/>
        <v>57555.905684046447</v>
      </c>
      <c r="Z78" s="58">
        <f t="shared" si="15"/>
        <v>14381.753039274157</v>
      </c>
      <c r="AA78" s="58">
        <f t="shared" si="16"/>
        <v>24862.879940322277</v>
      </c>
      <c r="AB78" s="58">
        <f t="shared" si="17"/>
        <v>57555.905684046447</v>
      </c>
    </row>
    <row r="79" spans="1:28">
      <c r="A79" s="52" t="s">
        <v>442</v>
      </c>
      <c r="B79" s="52" t="s">
        <v>443</v>
      </c>
      <c r="C79" s="52" t="s">
        <v>116</v>
      </c>
      <c r="D79" s="52" t="s">
        <v>322</v>
      </c>
      <c r="E79" s="225">
        <v>1316733333.3333333</v>
      </c>
      <c r="F79" s="52">
        <v>2023</v>
      </c>
      <c r="G79" s="57" t="s">
        <v>1763</v>
      </c>
      <c r="H79" s="226">
        <v>47.7</v>
      </c>
      <c r="I79" s="52">
        <v>2024</v>
      </c>
      <c r="J79" s="228">
        <v>55856</v>
      </c>
      <c r="K79" s="52">
        <v>2023</v>
      </c>
      <c r="L79" s="52" t="s">
        <v>1769</v>
      </c>
      <c r="M79" s="228">
        <v>117081</v>
      </c>
      <c r="N79" s="52">
        <v>2023</v>
      </c>
      <c r="O79" s="44">
        <f t="shared" si="9"/>
        <v>0.4770714291815068</v>
      </c>
      <c r="P79" s="227">
        <v>4.59</v>
      </c>
      <c r="Q79" s="227">
        <v>8.67</v>
      </c>
      <c r="R79" s="227">
        <v>13.04</v>
      </c>
      <c r="S79" s="227">
        <v>20.399999999999999</v>
      </c>
      <c r="T79" s="227">
        <v>53.3</v>
      </c>
      <c r="U79" s="233">
        <f t="shared" si="14"/>
        <v>2580.6497618877111</v>
      </c>
      <c r="V79" s="233">
        <f t="shared" si="10"/>
        <v>4874.5606613434538</v>
      </c>
      <c r="W79" s="233">
        <f t="shared" si="11"/>
        <v>7331.5191492409031</v>
      </c>
      <c r="X79" s="233">
        <f t="shared" si="12"/>
        <v>11469.554497278716</v>
      </c>
      <c r="Y79" s="233">
        <f t="shared" si="13"/>
        <v>29967.022289458604</v>
      </c>
      <c r="Z79" s="58">
        <f t="shared" si="15"/>
        <v>3727.6052116155824</v>
      </c>
      <c r="AA79" s="58">
        <f t="shared" si="16"/>
        <v>7331.5191492409031</v>
      </c>
      <c r="AB79" s="58">
        <f t="shared" si="17"/>
        <v>29967.022289458604</v>
      </c>
    </row>
    <row r="80" spans="1:28">
      <c r="A80" s="52" t="s">
        <v>698</v>
      </c>
      <c r="B80" s="52" t="s">
        <v>699</v>
      </c>
      <c r="C80" s="52" t="s">
        <v>115</v>
      </c>
      <c r="D80" s="52" t="s">
        <v>121</v>
      </c>
      <c r="E80" s="225">
        <v>3235809504.2987099</v>
      </c>
      <c r="F80" s="52">
        <v>2021</v>
      </c>
      <c r="G80" s="57" t="s">
        <v>1763</v>
      </c>
      <c r="H80" s="226">
        <v>57.1</v>
      </c>
      <c r="I80" s="52">
        <v>2024</v>
      </c>
      <c r="J80" s="228">
        <v>26844</v>
      </c>
      <c r="K80" s="52">
        <v>2015</v>
      </c>
      <c r="L80" s="52" t="s">
        <v>1769</v>
      </c>
      <c r="M80" s="228">
        <v>56865</v>
      </c>
      <c r="N80" s="52">
        <v>2023</v>
      </c>
      <c r="O80" s="44">
        <f t="shared" si="9"/>
        <v>0.4720654180954893</v>
      </c>
      <c r="P80" s="227">
        <v>6.5</v>
      </c>
      <c r="Q80" s="227">
        <v>11.99</v>
      </c>
      <c r="R80" s="227">
        <v>16.18</v>
      </c>
      <c r="S80" s="227">
        <v>22.99</v>
      </c>
      <c r="T80" s="227">
        <v>42.35</v>
      </c>
      <c r="U80" s="233">
        <f t="shared" si="14"/>
        <v>22369.443777389104</v>
      </c>
      <c r="V80" s="233">
        <f t="shared" si="10"/>
        <v>41263.020137060827</v>
      </c>
      <c r="W80" s="233">
        <f t="shared" si="11"/>
        <v>55682.70774125473</v>
      </c>
      <c r="X80" s="233">
        <f t="shared" si="12"/>
        <v>79119.001914180844</v>
      </c>
      <c r="Y80" s="233">
        <f t="shared" si="13"/>
        <v>145745.5298419121</v>
      </c>
      <c r="Z80" s="58">
        <f t="shared" si="15"/>
        <v>31816.231957224965</v>
      </c>
      <c r="AA80" s="58">
        <f t="shared" si="16"/>
        <v>55682.70774125473</v>
      </c>
      <c r="AB80" s="58">
        <f t="shared" si="17"/>
        <v>145745.5298419121</v>
      </c>
    </row>
    <row r="81" spans="1:28">
      <c r="A81" s="52" t="s">
        <v>444</v>
      </c>
      <c r="B81" s="52" t="s">
        <v>445</v>
      </c>
      <c r="C81" s="52" t="s">
        <v>116</v>
      </c>
      <c r="D81" s="52" t="s">
        <v>322</v>
      </c>
      <c r="E81" s="225">
        <v>104450210572.01225</v>
      </c>
      <c r="F81" s="52">
        <v>2023</v>
      </c>
      <c r="G81" s="57" t="s">
        <v>1763</v>
      </c>
      <c r="H81" s="226">
        <v>46.601999999999997</v>
      </c>
      <c r="I81" s="52">
        <v>2024</v>
      </c>
      <c r="J81" s="228">
        <v>7980968</v>
      </c>
      <c r="K81" s="52">
        <v>2023</v>
      </c>
      <c r="L81" s="52" t="s">
        <v>1769</v>
      </c>
      <c r="M81" s="228">
        <v>18124838</v>
      </c>
      <c r="N81" s="52">
        <v>2023</v>
      </c>
      <c r="O81" s="44">
        <f t="shared" si="9"/>
        <v>0.44033320463333242</v>
      </c>
      <c r="P81" s="227">
        <v>4.51</v>
      </c>
      <c r="Q81" s="227">
        <v>8.6</v>
      </c>
      <c r="R81" s="227">
        <v>13.21</v>
      </c>
      <c r="S81" s="227">
        <v>20.100000000000001</v>
      </c>
      <c r="T81" s="227">
        <v>53.58</v>
      </c>
      <c r="U81" s="233">
        <f t="shared" si="14"/>
        <v>1375.323463017073</v>
      </c>
      <c r="V81" s="233">
        <f t="shared" si="10"/>
        <v>2622.5680226046175</v>
      </c>
      <c r="W81" s="233">
        <f t="shared" si="11"/>
        <v>4028.3864626287213</v>
      </c>
      <c r="X81" s="233">
        <f t="shared" si="12"/>
        <v>6129.4903784131193</v>
      </c>
      <c r="Y81" s="233">
        <f t="shared" si="13"/>
        <v>16339.208680366908</v>
      </c>
      <c r="Z81" s="58">
        <f t="shared" si="15"/>
        <v>1998.9457428108453</v>
      </c>
      <c r="AA81" s="58">
        <f t="shared" si="16"/>
        <v>4028.3864626287213</v>
      </c>
      <c r="AB81" s="58">
        <f t="shared" si="17"/>
        <v>16339.208680366908</v>
      </c>
    </row>
    <row r="82" spans="1:28">
      <c r="A82" s="52" t="s">
        <v>752</v>
      </c>
      <c r="B82" s="52" t="s">
        <v>753</v>
      </c>
      <c r="C82" s="52" t="s">
        <v>114</v>
      </c>
      <c r="D82" s="52" t="s">
        <v>121</v>
      </c>
      <c r="E82" s="225">
        <v>6910000000</v>
      </c>
      <c r="F82" s="52">
        <v>2022</v>
      </c>
      <c r="G82" s="57" t="s">
        <v>1763</v>
      </c>
      <c r="H82" s="226">
        <v>51.408000000000001</v>
      </c>
      <c r="I82" s="52">
        <v>2024</v>
      </c>
      <c r="J82" s="228">
        <v>77000</v>
      </c>
      <c r="K82" s="52">
        <v>2023</v>
      </c>
      <c r="L82" s="52" t="s">
        <v>1770</v>
      </c>
      <c r="M82" s="228">
        <v>166506</v>
      </c>
      <c r="N82" s="52">
        <v>2023</v>
      </c>
      <c r="O82" s="44">
        <f t="shared" si="9"/>
        <v>0.46244579774903005</v>
      </c>
      <c r="P82" s="227">
        <v>7.2819999999999991</v>
      </c>
      <c r="Q82" s="227">
        <v>12.249999999999998</v>
      </c>
      <c r="R82" s="227">
        <v>16.434000000000001</v>
      </c>
      <c r="S82" s="227">
        <v>22.161000000000001</v>
      </c>
      <c r="T82" s="227">
        <v>41.876999999999995</v>
      </c>
      <c r="U82" s="233">
        <f t="shared" si="14"/>
        <v>16797.270239999998</v>
      </c>
      <c r="V82" s="233">
        <f t="shared" si="10"/>
        <v>28256.874545454542</v>
      </c>
      <c r="W82" s="233">
        <f t="shared" si="11"/>
        <v>37908.03888</v>
      </c>
      <c r="X82" s="233">
        <f t="shared" si="12"/>
        <v>51118.416065454549</v>
      </c>
      <c r="Y82" s="233">
        <f t="shared" si="13"/>
        <v>96596.990640000004</v>
      </c>
      <c r="Z82" s="58">
        <f t="shared" si="15"/>
        <v>22527.07239272727</v>
      </c>
      <c r="AA82" s="58">
        <f t="shared" si="16"/>
        <v>37908.03888</v>
      </c>
      <c r="AB82" s="58">
        <f t="shared" si="17"/>
        <v>96596.990640000004</v>
      </c>
    </row>
    <row r="83" spans="1:28">
      <c r="A83" s="52" t="s">
        <v>450</v>
      </c>
      <c r="B83" s="52" t="s">
        <v>451</v>
      </c>
      <c r="C83" s="52" t="s">
        <v>116</v>
      </c>
      <c r="D83" s="52" t="s">
        <v>121</v>
      </c>
      <c r="E83" s="225">
        <v>17159509565.467627</v>
      </c>
      <c r="F83" s="52">
        <v>2023</v>
      </c>
      <c r="G83" s="57" t="s">
        <v>1763</v>
      </c>
      <c r="H83" s="226">
        <v>56.62</v>
      </c>
      <c r="I83" s="52">
        <v>2024</v>
      </c>
      <c r="J83" s="228">
        <v>283237</v>
      </c>
      <c r="K83" s="52">
        <v>2019</v>
      </c>
      <c r="L83" s="52" t="s">
        <v>1769</v>
      </c>
      <c r="M83" s="228">
        <v>826353</v>
      </c>
      <c r="N83" s="52">
        <v>2023</v>
      </c>
      <c r="O83" s="44">
        <f t="shared" si="9"/>
        <v>0.34275545680840996</v>
      </c>
      <c r="P83" s="227">
        <v>4.21</v>
      </c>
      <c r="Q83" s="227">
        <v>9.81</v>
      </c>
      <c r="R83" s="227">
        <v>14.51</v>
      </c>
      <c r="S83" s="227">
        <v>21.3</v>
      </c>
      <c r="T83" s="227">
        <v>50.17</v>
      </c>
      <c r="U83" s="233">
        <f t="shared" si="14"/>
        <v>7220.659248301652</v>
      </c>
      <c r="V83" s="233">
        <f t="shared" si="10"/>
        <v>16825.336633215968</v>
      </c>
      <c r="W83" s="233">
        <f t="shared" si="11"/>
        <v>24886.405152697625</v>
      </c>
      <c r="X83" s="233">
        <f t="shared" si="12"/>
        <v>36532.076481906224</v>
      </c>
      <c r="Y83" s="233">
        <f t="shared" si="13"/>
        <v>86047.618643062713</v>
      </c>
      <c r="Z83" s="58">
        <f t="shared" si="15"/>
        <v>12022.997940758811</v>
      </c>
      <c r="AA83" s="58">
        <f t="shared" si="16"/>
        <v>24886.405152697625</v>
      </c>
      <c r="AB83" s="58">
        <f t="shared" si="17"/>
        <v>86047.618643062713</v>
      </c>
    </row>
    <row r="84" spans="1:28">
      <c r="A84" s="52" t="s">
        <v>456</v>
      </c>
      <c r="B84" s="52" t="s">
        <v>457</v>
      </c>
      <c r="C84" s="52" t="s">
        <v>114</v>
      </c>
      <c r="D84" s="52" t="s">
        <v>121</v>
      </c>
      <c r="E84" s="225">
        <v>380812234827.83179</v>
      </c>
      <c r="F84" s="52">
        <v>2023</v>
      </c>
      <c r="G84" s="57" t="s">
        <v>1763</v>
      </c>
      <c r="H84" s="226">
        <v>53.179000000000002</v>
      </c>
      <c r="I84" s="52">
        <v>2024</v>
      </c>
      <c r="J84" s="228">
        <v>3822299</v>
      </c>
      <c r="K84" s="52">
        <v>2023</v>
      </c>
      <c r="L84" s="52" t="s">
        <v>1769</v>
      </c>
      <c r="M84" s="228">
        <v>7536100</v>
      </c>
      <c r="N84" s="52">
        <v>2023</v>
      </c>
      <c r="O84" s="44">
        <f t="shared" si="9"/>
        <v>0.50719855097464206</v>
      </c>
      <c r="P84" s="227">
        <v>6.3</v>
      </c>
      <c r="Q84" s="227">
        <v>11.01</v>
      </c>
      <c r="R84" s="227">
        <v>14.76</v>
      </c>
      <c r="S84" s="227">
        <v>20.56</v>
      </c>
      <c r="T84" s="227">
        <v>47.38</v>
      </c>
      <c r="U84" s="233">
        <f t="shared" si="14"/>
        <v>16689.255231763447</v>
      </c>
      <c r="V84" s="233">
        <f t="shared" si="10"/>
        <v>29166.460333605639</v>
      </c>
      <c r="W84" s="233">
        <f t="shared" si="11"/>
        <v>39100.540828702928</v>
      </c>
      <c r="X84" s="233">
        <f t="shared" si="12"/>
        <v>54465.2519944534</v>
      </c>
      <c r="Y84" s="233">
        <f t="shared" si="13"/>
        <v>125513.79569538921</v>
      </c>
      <c r="Z84" s="58">
        <f t="shared" si="15"/>
        <v>22927.857782684543</v>
      </c>
      <c r="AA84" s="58">
        <f t="shared" si="16"/>
        <v>39100.540828702928</v>
      </c>
      <c r="AB84" s="58">
        <f t="shared" si="17"/>
        <v>125513.79569538921</v>
      </c>
    </row>
    <row r="85" spans="1:28">
      <c r="A85" s="52" t="s">
        <v>454</v>
      </c>
      <c r="B85" s="52" t="s">
        <v>455</v>
      </c>
      <c r="C85" s="52" t="s">
        <v>116</v>
      </c>
      <c r="D85" s="52" t="s">
        <v>325</v>
      </c>
      <c r="E85" s="225">
        <v>34400509852.043648</v>
      </c>
      <c r="F85" s="52">
        <v>2023</v>
      </c>
      <c r="G85" s="57" t="s">
        <v>1763</v>
      </c>
      <c r="H85" s="226">
        <v>57.238</v>
      </c>
      <c r="I85" s="52">
        <v>2024</v>
      </c>
      <c r="J85" s="228">
        <v>3929025</v>
      </c>
      <c r="K85" s="52">
        <v>2023</v>
      </c>
      <c r="L85" s="52" t="s">
        <v>1769</v>
      </c>
      <c r="M85" s="228">
        <v>10644851</v>
      </c>
      <c r="N85" s="52">
        <v>2023</v>
      </c>
      <c r="O85" s="44">
        <f t="shared" si="9"/>
        <v>0.36910098600722546</v>
      </c>
      <c r="P85" s="227">
        <v>3.74</v>
      </c>
      <c r="Q85" s="227">
        <v>8.09</v>
      </c>
      <c r="R85" s="227">
        <v>13.33</v>
      </c>
      <c r="S85" s="227">
        <v>21.51</v>
      </c>
      <c r="T85" s="227">
        <v>53.33</v>
      </c>
      <c r="U85" s="233">
        <f t="shared" si="14"/>
        <v>937.14360077731328</v>
      </c>
      <c r="V85" s="233">
        <f t="shared" si="10"/>
        <v>2027.1368262803378</v>
      </c>
      <c r="W85" s="233">
        <f t="shared" si="11"/>
        <v>3340.1401599897285</v>
      </c>
      <c r="X85" s="233">
        <f t="shared" si="12"/>
        <v>5389.8285702459916</v>
      </c>
      <c r="Y85" s="233">
        <f t="shared" si="13"/>
        <v>13363.066371511793</v>
      </c>
      <c r="Z85" s="58">
        <f t="shared" si="15"/>
        <v>1482.1402135288256</v>
      </c>
      <c r="AA85" s="58">
        <f t="shared" si="16"/>
        <v>3340.1401599897285</v>
      </c>
      <c r="AB85" s="58">
        <f t="shared" si="17"/>
        <v>13363.066371511793</v>
      </c>
    </row>
    <row r="86" spans="1:28">
      <c r="A86" s="52" t="s">
        <v>74</v>
      </c>
      <c r="B86" s="52" t="s">
        <v>75</v>
      </c>
      <c r="C86" s="52" t="s">
        <v>115</v>
      </c>
      <c r="D86" s="52" t="s">
        <v>121</v>
      </c>
      <c r="E86" s="225">
        <v>84393795502.442108</v>
      </c>
      <c r="F86" s="52">
        <v>2023</v>
      </c>
      <c r="G86" s="57" t="s">
        <v>1763</v>
      </c>
      <c r="H86" s="226">
        <v>57.098999999999997</v>
      </c>
      <c r="I86" s="52">
        <v>2024</v>
      </c>
      <c r="J86" s="228">
        <v>1725382</v>
      </c>
      <c r="K86" s="52">
        <v>2023</v>
      </c>
      <c r="L86" s="52" t="s">
        <v>1769</v>
      </c>
      <c r="M86" s="228">
        <v>3859686</v>
      </c>
      <c r="N86" s="52">
        <v>2023</v>
      </c>
      <c r="O86" s="44">
        <f t="shared" si="9"/>
        <v>0.44702651977388835</v>
      </c>
      <c r="P86" s="227">
        <v>8.02</v>
      </c>
      <c r="Q86" s="227">
        <v>13.63</v>
      </c>
      <c r="R86" s="227">
        <v>18.100000000000001</v>
      </c>
      <c r="S86" s="227">
        <v>23.26</v>
      </c>
      <c r="T86" s="227">
        <v>36.979999999999997</v>
      </c>
      <c r="U86" s="233">
        <f t="shared" si="14"/>
        <v>11199.48703004303</v>
      </c>
      <c r="V86" s="233">
        <f t="shared" si="10"/>
        <v>19033.542172005804</v>
      </c>
      <c r="W86" s="233">
        <f t="shared" si="11"/>
        <v>25275.650279772934</v>
      </c>
      <c r="X86" s="233">
        <f t="shared" si="12"/>
        <v>32481.305276658473</v>
      </c>
      <c r="Y86" s="233">
        <f t="shared" si="13"/>
        <v>51640.527477679716</v>
      </c>
      <c r="Z86" s="58">
        <f t="shared" si="15"/>
        <v>15116.514601024417</v>
      </c>
      <c r="AA86" s="58">
        <f t="shared" si="16"/>
        <v>25275.650279772934</v>
      </c>
      <c r="AB86" s="58">
        <f t="shared" si="17"/>
        <v>51640.527477679716</v>
      </c>
    </row>
    <row r="87" spans="1:28">
      <c r="A87" s="52" t="s">
        <v>452</v>
      </c>
      <c r="B87" s="52" t="s">
        <v>453</v>
      </c>
      <c r="C87" s="52" t="s">
        <v>116</v>
      </c>
      <c r="D87" s="52" t="s">
        <v>325</v>
      </c>
      <c r="E87" s="225">
        <v>19850829757.541847</v>
      </c>
      <c r="F87" s="52">
        <v>2023</v>
      </c>
      <c r="G87" s="57" t="s">
        <v>1763</v>
      </c>
      <c r="H87" s="226">
        <v>50.389000000000003</v>
      </c>
      <c r="I87" s="52">
        <v>2024</v>
      </c>
      <c r="J87" s="228">
        <v>5216000</v>
      </c>
      <c r="K87" s="52">
        <v>2023</v>
      </c>
      <c r="L87" s="52" t="s">
        <v>1770</v>
      </c>
      <c r="M87" s="228">
        <v>11637398</v>
      </c>
      <c r="N87" s="52">
        <v>2023</v>
      </c>
      <c r="O87" s="44">
        <f t="shared" si="9"/>
        <v>0.44821015831889566</v>
      </c>
      <c r="P87" s="227">
        <v>1.98</v>
      </c>
      <c r="Q87" s="227">
        <v>5.49</v>
      </c>
      <c r="R87" s="227">
        <v>9.9700000000000006</v>
      </c>
      <c r="S87" s="227">
        <v>18.260000000000002</v>
      </c>
      <c r="T87" s="227">
        <v>64.290000000000006</v>
      </c>
      <c r="U87" s="233">
        <f t="shared" si="14"/>
        <v>189.85061849046173</v>
      </c>
      <c r="V87" s="233">
        <f t="shared" si="10"/>
        <v>526.40398763264398</v>
      </c>
      <c r="W87" s="233">
        <f t="shared" si="11"/>
        <v>955.96498300500207</v>
      </c>
      <c r="X87" s="233">
        <f t="shared" si="12"/>
        <v>1750.8445927453695</v>
      </c>
      <c r="Y87" s="233">
        <f t="shared" si="13"/>
        <v>6164.3920518948416</v>
      </c>
      <c r="Z87" s="58">
        <f t="shared" si="15"/>
        <v>358.12730306155288</v>
      </c>
      <c r="AA87" s="58">
        <f t="shared" si="16"/>
        <v>955.96498300500207</v>
      </c>
      <c r="AB87" s="58">
        <f t="shared" si="17"/>
        <v>6164.3920518948416</v>
      </c>
    </row>
    <row r="88" spans="1:28">
      <c r="A88" s="52" t="s">
        <v>458</v>
      </c>
      <c r="B88" s="52" t="s">
        <v>459</v>
      </c>
      <c r="C88" s="52" t="s">
        <v>115</v>
      </c>
      <c r="D88" s="52" t="s">
        <v>121</v>
      </c>
      <c r="E88" s="225">
        <v>212388906458.72394</v>
      </c>
      <c r="F88" s="52">
        <v>2023</v>
      </c>
      <c r="G88" s="57" t="s">
        <v>1763</v>
      </c>
      <c r="H88" s="226">
        <v>46.104999999999997</v>
      </c>
      <c r="I88" s="52">
        <v>2024</v>
      </c>
      <c r="J88" s="228">
        <v>4911894</v>
      </c>
      <c r="K88" s="52">
        <v>2023</v>
      </c>
      <c r="L88" s="52" t="s">
        <v>1769</v>
      </c>
      <c r="M88" s="228">
        <v>9592186</v>
      </c>
      <c r="N88" s="52">
        <v>2023</v>
      </c>
      <c r="O88" s="44">
        <f t="shared" si="9"/>
        <v>0.51207243062217522</v>
      </c>
      <c r="P88" s="227">
        <v>9.4700000000000006</v>
      </c>
      <c r="Q88" s="227">
        <v>13.94</v>
      </c>
      <c r="R88" s="227">
        <v>17.760000000000002</v>
      </c>
      <c r="S88" s="227">
        <v>22.94</v>
      </c>
      <c r="T88" s="227">
        <v>35.89</v>
      </c>
      <c r="U88" s="233">
        <f t="shared" si="14"/>
        <v>9439.5404645017334</v>
      </c>
      <c r="V88" s="233">
        <f t="shared" si="10"/>
        <v>13895.163049118706</v>
      </c>
      <c r="W88" s="233">
        <f t="shared" si="11"/>
        <v>17702.876309350664</v>
      </c>
      <c r="X88" s="233">
        <f t="shared" si="12"/>
        <v>22866.215232911272</v>
      </c>
      <c r="Y88" s="233">
        <f t="shared" si="13"/>
        <v>35774.562541812797</v>
      </c>
      <c r="Z88" s="58">
        <f t="shared" si="15"/>
        <v>11667.35175681022</v>
      </c>
      <c r="AA88" s="58">
        <f t="shared" si="16"/>
        <v>17702.876309350664</v>
      </c>
      <c r="AB88" s="58">
        <f t="shared" si="17"/>
        <v>35774.562541812797</v>
      </c>
    </row>
    <row r="89" spans="1:28">
      <c r="A89" s="52" t="s">
        <v>464</v>
      </c>
      <c r="B89" s="52" t="s">
        <v>465</v>
      </c>
      <c r="C89" s="52" t="s">
        <v>114</v>
      </c>
      <c r="D89" s="52" t="s">
        <v>322</v>
      </c>
      <c r="E89" s="225">
        <v>1371171152331.155</v>
      </c>
      <c r="F89" s="52">
        <v>2023</v>
      </c>
      <c r="G89" s="57" t="s">
        <v>1763</v>
      </c>
      <c r="H89" s="226">
        <v>58.302</v>
      </c>
      <c r="I89" s="52">
        <v>2024</v>
      </c>
      <c r="J89" s="228">
        <v>144005600</v>
      </c>
      <c r="K89" s="52">
        <v>2023</v>
      </c>
      <c r="L89" s="52" t="s">
        <v>1769</v>
      </c>
      <c r="M89" s="228">
        <v>281190067</v>
      </c>
      <c r="N89" s="52">
        <v>2023</v>
      </c>
      <c r="O89" s="44">
        <f t="shared" si="9"/>
        <v>0.51212904330649778</v>
      </c>
      <c r="P89" s="227">
        <v>6.72</v>
      </c>
      <c r="Q89" s="227">
        <v>10.6</v>
      </c>
      <c r="R89" s="227">
        <v>14.96</v>
      </c>
      <c r="S89" s="227">
        <v>21.38</v>
      </c>
      <c r="T89" s="227">
        <v>46.34</v>
      </c>
      <c r="U89" s="233">
        <f t="shared" si="14"/>
        <v>1865.2412750475601</v>
      </c>
      <c r="V89" s="233">
        <f t="shared" si="10"/>
        <v>2942.1960588547827</v>
      </c>
      <c r="W89" s="233">
        <f t="shared" si="11"/>
        <v>4152.3823623082599</v>
      </c>
      <c r="X89" s="233">
        <f t="shared" si="12"/>
        <v>5934.3539375769105</v>
      </c>
      <c r="Y89" s="233">
        <f t="shared" si="13"/>
        <v>12862.392959182136</v>
      </c>
      <c r="Z89" s="58">
        <f t="shared" si="15"/>
        <v>2403.7186669511711</v>
      </c>
      <c r="AA89" s="58">
        <f t="shared" si="16"/>
        <v>4152.3823623082599</v>
      </c>
      <c r="AB89" s="58">
        <f t="shared" si="17"/>
        <v>12862.392959182136</v>
      </c>
    </row>
    <row r="90" spans="1:28">
      <c r="A90" s="52" t="s">
        <v>754</v>
      </c>
      <c r="B90" s="52" t="s">
        <v>755</v>
      </c>
      <c r="C90" s="52" t="s">
        <v>115</v>
      </c>
      <c r="D90" s="52" t="s">
        <v>121</v>
      </c>
      <c r="E90" s="225">
        <v>7931193222.0640526</v>
      </c>
      <c r="F90" s="52">
        <v>2021</v>
      </c>
      <c r="G90" s="57" t="s">
        <v>1763</v>
      </c>
      <c r="H90" s="226">
        <v>57.1</v>
      </c>
      <c r="I90" s="52">
        <v>2024</v>
      </c>
      <c r="J90" s="228">
        <v>42777</v>
      </c>
      <c r="K90" s="52">
        <v>2016</v>
      </c>
      <c r="L90" s="52" t="s">
        <v>1769</v>
      </c>
      <c r="M90" s="228">
        <v>84165</v>
      </c>
      <c r="N90" s="52">
        <v>2023</v>
      </c>
      <c r="O90" s="44">
        <f t="shared" si="9"/>
        <v>0.50825164854749594</v>
      </c>
      <c r="P90" s="227">
        <v>7.9029411764705912</v>
      </c>
      <c r="Q90" s="227">
        <v>13.135882352941175</v>
      </c>
      <c r="R90" s="227">
        <v>17.265588235294121</v>
      </c>
      <c r="S90" s="227">
        <v>22.71970588235294</v>
      </c>
      <c r="T90" s="227">
        <v>38.974117647058833</v>
      </c>
      <c r="U90" s="233">
        <f t="shared" si="14"/>
        <v>41833.39089301967</v>
      </c>
      <c r="V90" s="233">
        <f t="shared" si="10"/>
        <v>69533.416600820361</v>
      </c>
      <c r="W90" s="233">
        <f t="shared" si="11"/>
        <v>91393.581897764539</v>
      </c>
      <c r="X90" s="233">
        <f t="shared" si="12"/>
        <v>120264.3820734309</v>
      </c>
      <c r="Y90" s="233">
        <f t="shared" si="13"/>
        <v>206305.40729496913</v>
      </c>
      <c r="Z90" s="58">
        <f t="shared" si="15"/>
        <v>55683.403746920012</v>
      </c>
      <c r="AA90" s="58">
        <f t="shared" si="16"/>
        <v>91393.581897764539</v>
      </c>
      <c r="AB90" s="58">
        <f t="shared" si="17"/>
        <v>206305.40729496913</v>
      </c>
    </row>
    <row r="91" spans="1:28">
      <c r="A91" s="52" t="s">
        <v>462</v>
      </c>
      <c r="B91" s="52" t="s">
        <v>463</v>
      </c>
      <c r="C91" s="52" t="s">
        <v>118</v>
      </c>
      <c r="D91" s="52" t="s">
        <v>325</v>
      </c>
      <c r="E91" s="225">
        <v>3567551674623.0068</v>
      </c>
      <c r="F91" s="52">
        <v>2023</v>
      </c>
      <c r="G91" s="57" t="s">
        <v>1763</v>
      </c>
      <c r="H91" s="226">
        <v>56.781999999999996</v>
      </c>
      <c r="I91" s="52">
        <v>2024</v>
      </c>
      <c r="J91" s="228">
        <v>492429785</v>
      </c>
      <c r="K91" s="52">
        <v>2023</v>
      </c>
      <c r="L91" s="52" t="s">
        <v>1769</v>
      </c>
      <c r="M91" s="228">
        <v>1438069596</v>
      </c>
      <c r="N91" s="52">
        <v>2023</v>
      </c>
      <c r="O91" s="44">
        <f t="shared" si="9"/>
        <v>0.34242416804422865</v>
      </c>
      <c r="P91" s="227">
        <v>3.71</v>
      </c>
      <c r="Q91" s="227">
        <v>7.84</v>
      </c>
      <c r="R91" s="227">
        <v>12.18</v>
      </c>
      <c r="S91" s="227">
        <v>19.86</v>
      </c>
      <c r="T91" s="227">
        <v>56.41</v>
      </c>
      <c r="U91" s="233">
        <f t="shared" si="14"/>
        <v>763.09842649863845</v>
      </c>
      <c r="V91" s="233">
        <f t="shared" si="10"/>
        <v>1612.5853541103302</v>
      </c>
      <c r="W91" s="233">
        <f t="shared" si="11"/>
        <v>2505.2665322785488</v>
      </c>
      <c r="X91" s="233">
        <f t="shared" si="12"/>
        <v>4084.9419812029537</v>
      </c>
      <c r="Y91" s="233">
        <f t="shared" si="13"/>
        <v>11602.798447112718</v>
      </c>
      <c r="Z91" s="58">
        <f t="shared" si="15"/>
        <v>1187.8418903044844</v>
      </c>
      <c r="AA91" s="58">
        <f t="shared" si="16"/>
        <v>2505.2665322785488</v>
      </c>
      <c r="AB91" s="58">
        <f t="shared" si="17"/>
        <v>11602.798447112718</v>
      </c>
    </row>
    <row r="92" spans="1:28">
      <c r="A92" s="52" t="s">
        <v>470</v>
      </c>
      <c r="B92" s="52" t="s">
        <v>471</v>
      </c>
      <c r="C92" s="52" t="s">
        <v>115</v>
      </c>
      <c r="D92" s="52" t="s">
        <v>121</v>
      </c>
      <c r="E92" s="225">
        <v>551394889339.77832</v>
      </c>
      <c r="F92" s="52">
        <v>2023</v>
      </c>
      <c r="G92" s="57" t="s">
        <v>1763</v>
      </c>
      <c r="H92" s="226">
        <v>31.323</v>
      </c>
      <c r="I92" s="52">
        <v>2024</v>
      </c>
      <c r="J92" s="228">
        <v>2849013</v>
      </c>
      <c r="K92" s="52">
        <v>2023</v>
      </c>
      <c r="L92" s="52" t="s">
        <v>1769</v>
      </c>
      <c r="M92" s="228">
        <v>5307600</v>
      </c>
      <c r="N92" s="52">
        <v>2023</v>
      </c>
      <c r="O92" s="44">
        <f t="shared" si="9"/>
        <v>0.53677990052000901</v>
      </c>
      <c r="P92" s="227">
        <v>8.66</v>
      </c>
      <c r="Q92" s="227">
        <v>13</v>
      </c>
      <c r="R92" s="227">
        <v>16.53</v>
      </c>
      <c r="S92" s="227">
        <v>22.05</v>
      </c>
      <c r="T92" s="227">
        <v>39.75</v>
      </c>
      <c r="U92" s="233">
        <f t="shared" si="14"/>
        <v>26249.410365751286</v>
      </c>
      <c r="V92" s="233">
        <f t="shared" si="10"/>
        <v>39404.426646046966</v>
      </c>
      <c r="W92" s="233">
        <f t="shared" si="11"/>
        <v>50104.244035319716</v>
      </c>
      <c r="X92" s="233">
        <f t="shared" si="12"/>
        <v>66835.969811179661</v>
      </c>
      <c r="Y92" s="233">
        <f t="shared" si="13"/>
        <v>120486.61224464362</v>
      </c>
      <c r="Z92" s="58">
        <f t="shared" si="15"/>
        <v>32826.918505899128</v>
      </c>
      <c r="AA92" s="58">
        <f t="shared" si="16"/>
        <v>50104.244035319716</v>
      </c>
      <c r="AB92" s="58">
        <f t="shared" si="17"/>
        <v>120486.61224464362</v>
      </c>
    </row>
    <row r="93" spans="1:28">
      <c r="A93" s="52" t="s">
        <v>466</v>
      </c>
      <c r="B93" s="52" t="s">
        <v>467</v>
      </c>
      <c r="C93" s="52" t="s">
        <v>117</v>
      </c>
      <c r="D93" s="52" t="s">
        <v>325</v>
      </c>
      <c r="E93" s="225">
        <v>404625655204.61914</v>
      </c>
      <c r="F93" s="52">
        <v>2023</v>
      </c>
      <c r="G93" s="57" t="s">
        <v>1763</v>
      </c>
      <c r="H93" s="226">
        <v>36.83</v>
      </c>
      <c r="I93" s="52">
        <v>2024</v>
      </c>
      <c r="J93" s="228">
        <v>26425045</v>
      </c>
      <c r="K93" s="52">
        <v>2023</v>
      </c>
      <c r="L93" s="52" t="s">
        <v>1769</v>
      </c>
      <c r="M93" s="228">
        <v>90608707</v>
      </c>
      <c r="N93" s="52">
        <v>2023</v>
      </c>
      <c r="O93" s="44">
        <f t="shared" si="9"/>
        <v>0.29163913574001227</v>
      </c>
      <c r="P93" s="227">
        <v>5.12</v>
      </c>
      <c r="Q93" s="227">
        <v>9.7100000000000009</v>
      </c>
      <c r="R93" s="227">
        <v>14.46</v>
      </c>
      <c r="S93" s="227">
        <v>21.76</v>
      </c>
      <c r="T93" s="227">
        <v>48.95</v>
      </c>
      <c r="U93" s="233">
        <f t="shared" si="14"/>
        <v>1443.7080041239844</v>
      </c>
      <c r="V93" s="233">
        <f t="shared" si="10"/>
        <v>2737.9696718835721</v>
      </c>
      <c r="W93" s="233">
        <f t="shared" si="11"/>
        <v>4077.347214772034</v>
      </c>
      <c r="X93" s="233">
        <f t="shared" si="12"/>
        <v>6135.7590175269333</v>
      </c>
      <c r="Y93" s="233">
        <f t="shared" si="13"/>
        <v>13802.638047240049</v>
      </c>
      <c r="Z93" s="58">
        <f t="shared" si="15"/>
        <v>2090.8388380037782</v>
      </c>
      <c r="AA93" s="58">
        <f t="shared" si="16"/>
        <v>4077.347214772034</v>
      </c>
      <c r="AB93" s="58">
        <f t="shared" si="17"/>
        <v>13802.638047240049</v>
      </c>
    </row>
    <row r="94" spans="1:28">
      <c r="A94" s="52" t="s">
        <v>468</v>
      </c>
      <c r="B94" s="52" t="s">
        <v>469</v>
      </c>
      <c r="C94" s="52" t="s">
        <v>117</v>
      </c>
      <c r="D94" s="52" t="s">
        <v>322</v>
      </c>
      <c r="E94" s="225">
        <v>250842782139.46417</v>
      </c>
      <c r="F94" s="52">
        <v>2023</v>
      </c>
      <c r="G94" s="57" t="s">
        <v>1763</v>
      </c>
      <c r="H94" s="226">
        <v>39.232999999999997</v>
      </c>
      <c r="I94" s="52">
        <v>2024</v>
      </c>
      <c r="J94" s="228">
        <v>10348573</v>
      </c>
      <c r="K94" s="52">
        <v>2021</v>
      </c>
      <c r="L94" s="52" t="s">
        <v>1769</v>
      </c>
      <c r="M94" s="228">
        <v>45074049</v>
      </c>
      <c r="N94" s="52">
        <v>2023</v>
      </c>
      <c r="O94" s="44">
        <f t="shared" si="9"/>
        <v>0.2295904900844386</v>
      </c>
      <c r="P94" s="227">
        <v>5.52</v>
      </c>
      <c r="Q94" s="227">
        <v>10.73</v>
      </c>
      <c r="R94" s="227">
        <v>15.33</v>
      </c>
      <c r="S94" s="227">
        <v>21.51</v>
      </c>
      <c r="T94" s="227">
        <v>46.91</v>
      </c>
      <c r="U94" s="233">
        <f t="shared" si="14"/>
        <v>2624.7125131001317</v>
      </c>
      <c r="V94" s="233">
        <f t="shared" si="10"/>
        <v>5102.0226930370309</v>
      </c>
      <c r="W94" s="233">
        <f t="shared" si="11"/>
        <v>7289.2831206204737</v>
      </c>
      <c r="X94" s="233">
        <f t="shared" si="12"/>
        <v>10227.8199559391</v>
      </c>
      <c r="Y94" s="233">
        <f t="shared" si="13"/>
        <v>22305.301447378108</v>
      </c>
      <c r="Z94" s="58">
        <f t="shared" si="15"/>
        <v>3863.367603068581</v>
      </c>
      <c r="AA94" s="58">
        <f t="shared" si="16"/>
        <v>7289.2831206204737</v>
      </c>
      <c r="AB94" s="58">
        <f t="shared" si="17"/>
        <v>22305.301447378108</v>
      </c>
    </row>
    <row r="95" spans="1:28">
      <c r="A95" s="52" t="s">
        <v>460</v>
      </c>
      <c r="B95" s="52" t="s">
        <v>461</v>
      </c>
      <c r="C95" s="52" t="s">
        <v>115</v>
      </c>
      <c r="D95" s="52" t="s">
        <v>121</v>
      </c>
      <c r="E95" s="225">
        <v>31325116556.380741</v>
      </c>
      <c r="F95" s="52">
        <v>2023</v>
      </c>
      <c r="G95" s="57" t="s">
        <v>1763</v>
      </c>
      <c r="H95" s="226">
        <v>62.67</v>
      </c>
      <c r="I95" s="52">
        <v>2024</v>
      </c>
      <c r="J95" s="228">
        <v>228336</v>
      </c>
      <c r="K95" s="52">
        <v>2023</v>
      </c>
      <c r="L95" s="52" t="s">
        <v>1769</v>
      </c>
      <c r="M95" s="228">
        <v>393349</v>
      </c>
      <c r="N95" s="52">
        <v>2023</v>
      </c>
      <c r="O95" s="44">
        <f t="shared" si="9"/>
        <v>0.58049213294046764</v>
      </c>
      <c r="P95" s="227">
        <v>9.74</v>
      </c>
      <c r="Q95" s="227">
        <v>14.25</v>
      </c>
      <c r="R95" s="227">
        <v>17.739999999999998</v>
      </c>
      <c r="S95" s="227">
        <v>22.15</v>
      </c>
      <c r="T95" s="227">
        <v>36.130000000000003</v>
      </c>
      <c r="U95" s="233">
        <f t="shared" si="14"/>
        <v>41870.385816714908</v>
      </c>
      <c r="V95" s="233">
        <f t="shared" si="10"/>
        <v>61258.00799673381</v>
      </c>
      <c r="W95" s="233">
        <f t="shared" si="11"/>
        <v>76260.846446460215</v>
      </c>
      <c r="X95" s="233">
        <f t="shared" si="12"/>
        <v>95218.587868607312</v>
      </c>
      <c r="Y95" s="233">
        <f t="shared" si="13"/>
        <v>155315.91781908725</v>
      </c>
      <c r="Z95" s="58">
        <f t="shared" si="15"/>
        <v>51564.196906724363</v>
      </c>
      <c r="AA95" s="58">
        <f t="shared" si="16"/>
        <v>76260.846446460215</v>
      </c>
      <c r="AB95" s="58">
        <f t="shared" si="17"/>
        <v>155315.91781908725</v>
      </c>
    </row>
    <row r="96" spans="1:28">
      <c r="A96" s="52" t="s">
        <v>472</v>
      </c>
      <c r="B96" s="52" t="s">
        <v>473</v>
      </c>
      <c r="C96" s="52" t="s">
        <v>117</v>
      </c>
      <c r="D96" s="52" t="s">
        <v>121</v>
      </c>
      <c r="E96" s="225">
        <v>513611100815.69104</v>
      </c>
      <c r="F96" s="52">
        <v>2023</v>
      </c>
      <c r="G96" s="57" t="s">
        <v>1763</v>
      </c>
      <c r="H96" s="226">
        <v>51.996000000000002</v>
      </c>
      <c r="I96" s="52">
        <v>2024</v>
      </c>
      <c r="J96" s="228">
        <v>4459649</v>
      </c>
      <c r="K96" s="52">
        <v>2023</v>
      </c>
      <c r="L96" s="52" t="s">
        <v>1769</v>
      </c>
      <c r="M96" s="228">
        <v>9756600</v>
      </c>
      <c r="N96" s="52">
        <v>2023</v>
      </c>
      <c r="O96" s="44">
        <f t="shared" si="9"/>
        <v>0.45709048234015948</v>
      </c>
      <c r="P96" s="227">
        <v>5.15</v>
      </c>
      <c r="Q96" s="227">
        <v>10.84</v>
      </c>
      <c r="R96" s="227">
        <v>16.53</v>
      </c>
      <c r="S96" s="227">
        <v>23.64</v>
      </c>
      <c r="T96" s="227">
        <v>43.84</v>
      </c>
      <c r="U96" s="233">
        <f t="shared" si="14"/>
        <v>15419.876363561936</v>
      </c>
      <c r="V96" s="233">
        <f t="shared" si="10"/>
        <v>32456.594132235219</v>
      </c>
      <c r="W96" s="233">
        <f t="shared" si="11"/>
        <v>49493.311900908506</v>
      </c>
      <c r="X96" s="233">
        <f t="shared" si="12"/>
        <v>70781.723734874598</v>
      </c>
      <c r="Y96" s="233">
        <f t="shared" si="13"/>
        <v>131263.56888903986</v>
      </c>
      <c r="Z96" s="58">
        <f t="shared" si="15"/>
        <v>23938.235247898578</v>
      </c>
      <c r="AA96" s="58">
        <f t="shared" si="16"/>
        <v>49493.311900908506</v>
      </c>
      <c r="AB96" s="58">
        <f t="shared" si="17"/>
        <v>131263.56888903986</v>
      </c>
    </row>
    <row r="97" spans="1:28">
      <c r="A97" s="52" t="s">
        <v>474</v>
      </c>
      <c r="B97" s="52" t="s">
        <v>475</v>
      </c>
      <c r="C97" s="52" t="s">
        <v>115</v>
      </c>
      <c r="D97" s="52" t="s">
        <v>121</v>
      </c>
      <c r="E97" s="225">
        <v>2300941152991.8052</v>
      </c>
      <c r="F97" s="52">
        <v>2023</v>
      </c>
      <c r="G97" s="57" t="s">
        <v>1763</v>
      </c>
      <c r="H97" s="226">
        <v>56.436999999999998</v>
      </c>
      <c r="I97" s="52">
        <v>2024</v>
      </c>
      <c r="J97" s="228">
        <v>25526816</v>
      </c>
      <c r="K97" s="52">
        <v>2023</v>
      </c>
      <c r="L97" s="52" t="s">
        <v>1769</v>
      </c>
      <c r="M97" s="228">
        <v>58993475</v>
      </c>
      <c r="N97" s="52">
        <v>2023</v>
      </c>
      <c r="O97" s="44">
        <f t="shared" si="9"/>
        <v>0.43270575262772704</v>
      </c>
      <c r="P97" s="227">
        <v>5.56</v>
      </c>
      <c r="Q97" s="227">
        <v>11.84</v>
      </c>
      <c r="R97" s="227">
        <v>17.079999999999998</v>
      </c>
      <c r="S97" s="227">
        <v>23.88</v>
      </c>
      <c r="T97" s="227">
        <v>41.63</v>
      </c>
      <c r="U97" s="233">
        <f t="shared" si="14"/>
        <v>14142.219698174962</v>
      </c>
      <c r="V97" s="233">
        <f t="shared" si="10"/>
        <v>30115.805975969703</v>
      </c>
      <c r="W97" s="233">
        <f t="shared" si="11"/>
        <v>43444.084972091427</v>
      </c>
      <c r="X97" s="233">
        <f t="shared" si="12"/>
        <v>60740.324890722673</v>
      </c>
      <c r="Y97" s="233">
        <f t="shared" si="13"/>
        <v>105888.59820773808</v>
      </c>
      <c r="Z97" s="58">
        <f t="shared" si="15"/>
        <v>22129.012837072332</v>
      </c>
      <c r="AA97" s="58">
        <f t="shared" si="16"/>
        <v>43444.084972091427</v>
      </c>
      <c r="AB97" s="58">
        <f t="shared" si="17"/>
        <v>105888.59820773808</v>
      </c>
    </row>
    <row r="98" spans="1:28">
      <c r="A98" s="52" t="s">
        <v>476</v>
      </c>
      <c r="B98" s="52" t="s">
        <v>477</v>
      </c>
      <c r="C98" s="52" t="s">
        <v>116</v>
      </c>
      <c r="D98" s="52" t="s">
        <v>322</v>
      </c>
      <c r="E98" s="225">
        <v>19423355409.231567</v>
      </c>
      <c r="F98" s="52">
        <v>2023</v>
      </c>
      <c r="G98" s="57" t="s">
        <v>1763</v>
      </c>
      <c r="H98" s="226">
        <v>53.320999999999998</v>
      </c>
      <c r="I98" s="52">
        <v>2024</v>
      </c>
      <c r="J98" s="228">
        <v>1356531</v>
      </c>
      <c r="K98" s="52">
        <v>2023</v>
      </c>
      <c r="L98" s="52" t="s">
        <v>1769</v>
      </c>
      <c r="M98" s="228">
        <v>2839786</v>
      </c>
      <c r="N98" s="52">
        <v>2023</v>
      </c>
      <c r="O98" s="44">
        <f t="shared" si="9"/>
        <v>0.47768775534494501</v>
      </c>
      <c r="P98" s="227">
        <v>4.0599999999999996</v>
      </c>
      <c r="Q98" s="227">
        <v>8.64</v>
      </c>
      <c r="R98" s="227">
        <v>13.73</v>
      </c>
      <c r="S98" s="227">
        <v>20.84</v>
      </c>
      <c r="T98" s="227">
        <v>52.73</v>
      </c>
      <c r="U98" s="233">
        <f t="shared" si="14"/>
        <v>1549.8471096971182</v>
      </c>
      <c r="V98" s="233">
        <f t="shared" si="10"/>
        <v>3298.1968048726853</v>
      </c>
      <c r="W98" s="233">
        <f t="shared" si="11"/>
        <v>5241.2317281136538</v>
      </c>
      <c r="X98" s="233">
        <f t="shared" si="12"/>
        <v>7955.3728487901344</v>
      </c>
      <c r="Y98" s="233">
        <f t="shared" si="13"/>
        <v>20128.925638997305</v>
      </c>
      <c r="Z98" s="58">
        <f t="shared" si="15"/>
        <v>2424.0219572849019</v>
      </c>
      <c r="AA98" s="58">
        <f t="shared" si="16"/>
        <v>5241.2317281136538</v>
      </c>
      <c r="AB98" s="58">
        <f t="shared" si="17"/>
        <v>20128.925638997305</v>
      </c>
    </row>
    <row r="99" spans="1:28">
      <c r="A99" s="52" t="s">
        <v>480</v>
      </c>
      <c r="B99" s="52" t="s">
        <v>481</v>
      </c>
      <c r="C99" s="52" t="s">
        <v>117</v>
      </c>
      <c r="D99" s="52" t="s">
        <v>325</v>
      </c>
      <c r="E99" s="225">
        <v>50967475352.112679</v>
      </c>
      <c r="F99" s="52">
        <v>2023</v>
      </c>
      <c r="G99" s="57" t="s">
        <v>1763</v>
      </c>
      <c r="H99" s="226">
        <v>44.75</v>
      </c>
      <c r="I99" s="52">
        <v>2024</v>
      </c>
      <c r="J99" s="228">
        <v>3302971</v>
      </c>
      <c r="K99" s="52">
        <v>2023</v>
      </c>
      <c r="L99" s="52" t="s">
        <v>1769</v>
      </c>
      <c r="M99" s="228">
        <v>11439213</v>
      </c>
      <c r="N99" s="52">
        <v>2023</v>
      </c>
      <c r="O99" s="44">
        <f t="shared" si="9"/>
        <v>0.28874110482950183</v>
      </c>
      <c r="P99" s="227">
        <v>5.96</v>
      </c>
      <c r="Q99" s="227">
        <v>10.74</v>
      </c>
      <c r="R99" s="227">
        <v>15.02</v>
      </c>
      <c r="S99" s="227">
        <v>21.7</v>
      </c>
      <c r="T99" s="227">
        <v>46.58</v>
      </c>
      <c r="U99" s="233">
        <f t="shared" si="14"/>
        <v>2057.7739482365987</v>
      </c>
      <c r="V99" s="233">
        <f t="shared" si="10"/>
        <v>3708.1362758491719</v>
      </c>
      <c r="W99" s="233">
        <f t="shared" si="11"/>
        <v>5185.8665608244482</v>
      </c>
      <c r="X99" s="233">
        <f t="shared" si="12"/>
        <v>7492.2306504587568</v>
      </c>
      <c r="Y99" s="233">
        <f t="shared" si="13"/>
        <v>16082.401092090729</v>
      </c>
      <c r="Z99" s="58">
        <f t="shared" si="15"/>
        <v>2882.955112042885</v>
      </c>
      <c r="AA99" s="58">
        <f t="shared" si="16"/>
        <v>5185.8665608244482</v>
      </c>
      <c r="AB99" s="58">
        <f t="shared" si="17"/>
        <v>16082.401092090729</v>
      </c>
    </row>
    <row r="100" spans="1:28">
      <c r="A100" s="52" t="s">
        <v>478</v>
      </c>
      <c r="B100" s="52" t="s">
        <v>479</v>
      </c>
      <c r="C100" s="52" t="s">
        <v>114</v>
      </c>
      <c r="D100" s="52" t="s">
        <v>121</v>
      </c>
      <c r="E100" s="225">
        <v>4204494802431.5547</v>
      </c>
      <c r="F100" s="52">
        <v>2023</v>
      </c>
      <c r="G100" s="57" t="s">
        <v>1763</v>
      </c>
      <c r="H100" s="226">
        <v>53.713999999999999</v>
      </c>
      <c r="I100" s="52">
        <v>2024</v>
      </c>
      <c r="J100" s="228">
        <v>69570000</v>
      </c>
      <c r="K100" s="52">
        <v>2024</v>
      </c>
      <c r="L100" s="52" t="s">
        <v>1769</v>
      </c>
      <c r="M100" s="228">
        <v>124516650</v>
      </c>
      <c r="N100" s="52">
        <v>2023</v>
      </c>
      <c r="O100" s="44">
        <f t="shared" si="9"/>
        <v>0.55872046027579447</v>
      </c>
      <c r="P100" s="227">
        <v>7.7</v>
      </c>
      <c r="Q100" s="227">
        <v>12.85</v>
      </c>
      <c r="R100" s="227">
        <v>16.55</v>
      </c>
      <c r="S100" s="227">
        <v>21.68</v>
      </c>
      <c r="T100" s="227">
        <v>41.23</v>
      </c>
      <c r="U100" s="233">
        <f t="shared" si="14"/>
        <v>12497.986203802828</v>
      </c>
      <c r="V100" s="233">
        <f t="shared" si="10"/>
        <v>20857.028924528095</v>
      </c>
      <c r="W100" s="233">
        <f t="shared" si="11"/>
        <v>26862.554762719064</v>
      </c>
      <c r="X100" s="233">
        <f t="shared" si="12"/>
        <v>35189.135181616271</v>
      </c>
      <c r="Y100" s="233">
        <f t="shared" si="13"/>
        <v>66921.035218544232</v>
      </c>
      <c r="Z100" s="58">
        <f t="shared" si="15"/>
        <v>16677.507564165462</v>
      </c>
      <c r="AA100" s="58">
        <f t="shared" si="16"/>
        <v>26862.554762719064</v>
      </c>
      <c r="AB100" s="58">
        <f t="shared" si="17"/>
        <v>66921.035218544232</v>
      </c>
    </row>
    <row r="101" spans="1:28">
      <c r="A101" s="52" t="s">
        <v>482</v>
      </c>
      <c r="B101" s="52" t="s">
        <v>483</v>
      </c>
      <c r="C101" s="52" t="s">
        <v>115</v>
      </c>
      <c r="D101" s="52" t="s">
        <v>322</v>
      </c>
      <c r="E101" s="225">
        <v>262641892078.5242</v>
      </c>
      <c r="F101" s="52">
        <v>2023</v>
      </c>
      <c r="G101" s="57" t="s">
        <v>1763</v>
      </c>
      <c r="H101" s="226">
        <v>40.975999999999999</v>
      </c>
      <c r="I101" s="52">
        <v>2024</v>
      </c>
      <c r="J101" s="228">
        <v>9429809</v>
      </c>
      <c r="K101" s="52">
        <v>2022</v>
      </c>
      <c r="L101" s="52" t="s">
        <v>1769</v>
      </c>
      <c r="M101" s="228">
        <v>20330104</v>
      </c>
      <c r="N101" s="52">
        <v>2023</v>
      </c>
      <c r="O101" s="44">
        <f t="shared" si="9"/>
        <v>0.46383476444586808</v>
      </c>
      <c r="P101" s="227">
        <v>8.23</v>
      </c>
      <c r="Q101" s="227">
        <v>12.6</v>
      </c>
      <c r="R101" s="227">
        <v>16.7</v>
      </c>
      <c r="S101" s="227">
        <v>22.5</v>
      </c>
      <c r="T101" s="227">
        <v>39.96</v>
      </c>
      <c r="U101" s="233">
        <f t="shared" si="14"/>
        <v>4696.3505102559911</v>
      </c>
      <c r="V101" s="233">
        <f t="shared" si="10"/>
        <v>7190.0384482655509</v>
      </c>
      <c r="W101" s="233">
        <f t="shared" si="11"/>
        <v>9529.654133812277</v>
      </c>
      <c r="X101" s="233">
        <f t="shared" si="12"/>
        <v>12839.354371902769</v>
      </c>
      <c r="Y101" s="233">
        <f t="shared" si="13"/>
        <v>22802.693364499322</v>
      </c>
      <c r="Z101" s="58">
        <f t="shared" si="15"/>
        <v>5943.194479260771</v>
      </c>
      <c r="AA101" s="58">
        <f t="shared" si="16"/>
        <v>9529.654133812277</v>
      </c>
      <c r="AB101" s="58">
        <f t="shared" si="17"/>
        <v>22802.693364499322</v>
      </c>
    </row>
    <row r="102" spans="1:28">
      <c r="A102" s="52" t="s">
        <v>484</v>
      </c>
      <c r="B102" s="52" t="s">
        <v>485</v>
      </c>
      <c r="C102" s="52" t="s">
        <v>119</v>
      </c>
      <c r="D102" s="52" t="s">
        <v>325</v>
      </c>
      <c r="E102" s="225">
        <v>108038588970.59505</v>
      </c>
      <c r="F102" s="52">
        <v>2023</v>
      </c>
      <c r="G102" s="57" t="s">
        <v>1763</v>
      </c>
      <c r="H102" s="226">
        <v>34.393999999999998</v>
      </c>
      <c r="I102" s="52">
        <v>2024</v>
      </c>
      <c r="J102" s="228">
        <v>17745949</v>
      </c>
      <c r="K102" s="52">
        <v>2022</v>
      </c>
      <c r="L102" s="52" t="s">
        <v>1769</v>
      </c>
      <c r="M102" s="228">
        <v>55339003</v>
      </c>
      <c r="N102" s="52">
        <v>2023</v>
      </c>
      <c r="O102" s="44">
        <f t="shared" si="9"/>
        <v>0.3206770638784367</v>
      </c>
      <c r="P102" s="227">
        <v>3.1</v>
      </c>
      <c r="Q102" s="227">
        <v>7</v>
      </c>
      <c r="R102" s="227">
        <v>11.45</v>
      </c>
      <c r="S102" s="227">
        <v>18.829999999999998</v>
      </c>
      <c r="T102" s="227">
        <v>59.62</v>
      </c>
      <c r="U102" s="233">
        <f t="shared" si="14"/>
        <v>324.55930111343724</v>
      </c>
      <c r="V102" s="233">
        <f t="shared" si="10"/>
        <v>732.87584122389057</v>
      </c>
      <c r="W102" s="233">
        <f t="shared" si="11"/>
        <v>1198.7754831447921</v>
      </c>
      <c r="X102" s="233">
        <f t="shared" si="12"/>
        <v>1971.4360128922656</v>
      </c>
      <c r="Y102" s="233">
        <f t="shared" si="13"/>
        <v>6242.0082362526209</v>
      </c>
      <c r="Z102" s="58">
        <f t="shared" si="15"/>
        <v>528.71757116866388</v>
      </c>
      <c r="AA102" s="58">
        <f t="shared" si="16"/>
        <v>1198.7754831447921</v>
      </c>
      <c r="AB102" s="58">
        <f t="shared" si="17"/>
        <v>6242.0082362526209</v>
      </c>
    </row>
    <row r="103" spans="1:28">
      <c r="A103" s="52" t="s">
        <v>490</v>
      </c>
      <c r="B103" s="52" t="s">
        <v>491</v>
      </c>
      <c r="C103" s="52" t="s">
        <v>115</v>
      </c>
      <c r="D103" s="52" t="s">
        <v>325</v>
      </c>
      <c r="E103" s="225">
        <v>13987627908.838139</v>
      </c>
      <c r="F103" s="52">
        <v>2023</v>
      </c>
      <c r="G103" s="57" t="s">
        <v>1763</v>
      </c>
      <c r="H103" s="226">
        <v>32.902999999999999</v>
      </c>
      <c r="I103" s="52">
        <v>2024</v>
      </c>
      <c r="J103" s="228">
        <v>2672937</v>
      </c>
      <c r="K103" s="52">
        <v>2022</v>
      </c>
      <c r="L103" s="52" t="s">
        <v>1769</v>
      </c>
      <c r="M103" s="228">
        <v>7099750</v>
      </c>
      <c r="N103" s="52">
        <v>2023</v>
      </c>
      <c r="O103" s="44">
        <f t="shared" si="9"/>
        <v>0.37648325645269198</v>
      </c>
      <c r="P103" s="227">
        <v>7.89</v>
      </c>
      <c r="Q103" s="227">
        <v>12.52</v>
      </c>
      <c r="R103" s="227">
        <v>16.760000000000002</v>
      </c>
      <c r="S103" s="227">
        <v>22.63</v>
      </c>
      <c r="T103" s="227">
        <v>40.200000000000003</v>
      </c>
      <c r="U103" s="233">
        <f t="shared" si="14"/>
        <v>679.26283473136743</v>
      </c>
      <c r="V103" s="233">
        <f t="shared" si="10"/>
        <v>1077.8670077106112</v>
      </c>
      <c r="W103" s="233">
        <f t="shared" si="11"/>
        <v>1442.8954512164412</v>
      </c>
      <c r="X103" s="233">
        <f t="shared" si="12"/>
        <v>1948.2532255983328</v>
      </c>
      <c r="Y103" s="233">
        <f t="shared" si="13"/>
        <v>3460.882884182633</v>
      </c>
      <c r="Z103" s="58">
        <f t="shared" si="15"/>
        <v>878.56492122098939</v>
      </c>
      <c r="AA103" s="58">
        <f t="shared" si="16"/>
        <v>1442.8954512164412</v>
      </c>
      <c r="AB103" s="58">
        <f t="shared" si="17"/>
        <v>3460.882884182633</v>
      </c>
    </row>
    <row r="104" spans="1:28">
      <c r="A104" s="52" t="s">
        <v>374</v>
      </c>
      <c r="B104" s="52" t="s">
        <v>375</v>
      </c>
      <c r="C104" s="52" t="s">
        <v>114</v>
      </c>
      <c r="D104" s="52" t="s">
        <v>325</v>
      </c>
      <c r="E104" s="225">
        <v>42335646895.798386</v>
      </c>
      <c r="F104" s="52">
        <v>2023</v>
      </c>
      <c r="G104" s="57" t="s">
        <v>1763</v>
      </c>
      <c r="H104" s="226">
        <v>41.506</v>
      </c>
      <c r="I104" s="52">
        <v>2024</v>
      </c>
      <c r="J104" s="228">
        <v>9418597</v>
      </c>
      <c r="K104" s="52">
        <v>2021</v>
      </c>
      <c r="L104" s="52" t="s">
        <v>1769</v>
      </c>
      <c r="M104" s="228">
        <v>17423880</v>
      </c>
      <c r="N104" s="52">
        <v>2023</v>
      </c>
      <c r="O104" s="44">
        <f t="shared" si="9"/>
        <v>0.54055681053818094</v>
      </c>
      <c r="P104" s="227">
        <v>8.1300000000000008</v>
      </c>
      <c r="Q104" s="227">
        <v>11.71</v>
      </c>
      <c r="R104" s="227">
        <v>15.63</v>
      </c>
      <c r="S104" s="227">
        <v>21.28</v>
      </c>
      <c r="T104" s="227">
        <v>43.26</v>
      </c>
      <c r="U104" s="233">
        <f t="shared" si="14"/>
        <v>758.38793810073162</v>
      </c>
      <c r="V104" s="233">
        <f t="shared" si="10"/>
        <v>1092.3398222828496</v>
      </c>
      <c r="W104" s="233">
        <f t="shared" si="11"/>
        <v>1458.0078071973473</v>
      </c>
      <c r="X104" s="233">
        <f t="shared" si="12"/>
        <v>1985.0547752501316</v>
      </c>
      <c r="Y104" s="233">
        <f t="shared" si="13"/>
        <v>4035.4074049492792</v>
      </c>
      <c r="Z104" s="58">
        <f t="shared" si="15"/>
        <v>925.3638801917906</v>
      </c>
      <c r="AA104" s="58">
        <f t="shared" si="16"/>
        <v>1458.0078071973473</v>
      </c>
      <c r="AB104" s="58">
        <f t="shared" si="17"/>
        <v>4035.4074049492792</v>
      </c>
    </row>
    <row r="105" spans="1:28">
      <c r="A105" s="52" t="s">
        <v>486</v>
      </c>
      <c r="B105" s="52" t="s">
        <v>487</v>
      </c>
      <c r="C105" s="52" t="s">
        <v>114</v>
      </c>
      <c r="D105" s="52" t="s">
        <v>325</v>
      </c>
      <c r="E105" s="225">
        <v>279208903.3376435</v>
      </c>
      <c r="F105" s="52">
        <v>2023</v>
      </c>
      <c r="G105" s="57" t="s">
        <v>1763</v>
      </c>
      <c r="H105" s="226">
        <v>43.9</v>
      </c>
      <c r="I105" s="52">
        <v>2024</v>
      </c>
      <c r="J105" s="228">
        <v>34811</v>
      </c>
      <c r="K105" s="52">
        <v>2020</v>
      </c>
      <c r="L105" s="52" t="s">
        <v>1769</v>
      </c>
      <c r="M105" s="228">
        <v>132530</v>
      </c>
      <c r="N105" s="52">
        <v>2023</v>
      </c>
      <c r="O105" s="44">
        <f t="shared" si="9"/>
        <v>0.26266505696823361</v>
      </c>
      <c r="P105" s="227">
        <v>8.4499999999999993</v>
      </c>
      <c r="Q105" s="227">
        <v>12.31</v>
      </c>
      <c r="R105" s="227">
        <v>16.260000000000002</v>
      </c>
      <c r="S105" s="227">
        <v>21.78</v>
      </c>
      <c r="T105" s="227">
        <v>41.2</v>
      </c>
      <c r="U105" s="233">
        <f t="shared" si="14"/>
        <v>1487.6610660080939</v>
      </c>
      <c r="V105" s="233">
        <f t="shared" si="10"/>
        <v>2167.2316831431526</v>
      </c>
      <c r="W105" s="233">
        <f t="shared" si="11"/>
        <v>2862.6472110404284</v>
      </c>
      <c r="X105" s="233">
        <f t="shared" si="12"/>
        <v>3834.4684044563664</v>
      </c>
      <c r="Y105" s="233">
        <f t="shared" si="13"/>
        <v>7253.4480378146145</v>
      </c>
      <c r="Z105" s="58">
        <f t="shared" si="15"/>
        <v>1827.4463745756234</v>
      </c>
      <c r="AA105" s="58">
        <f t="shared" si="16"/>
        <v>2862.6472110404284</v>
      </c>
      <c r="AB105" s="58">
        <f t="shared" si="17"/>
        <v>7253.4480378146145</v>
      </c>
    </row>
    <row r="106" spans="1:28">
      <c r="A106" s="52" t="s">
        <v>616</v>
      </c>
      <c r="B106" s="52" t="s">
        <v>617</v>
      </c>
      <c r="C106" s="52" t="s">
        <v>116</v>
      </c>
      <c r="D106" s="52" t="s">
        <v>121</v>
      </c>
      <c r="E106" s="225">
        <v>1055499777.7777777</v>
      </c>
      <c r="F106" s="52">
        <v>2023</v>
      </c>
      <c r="G106" s="57" t="s">
        <v>1763</v>
      </c>
      <c r="H106" s="226">
        <v>50.6</v>
      </c>
      <c r="I106" s="52">
        <v>2024</v>
      </c>
      <c r="J106" s="228">
        <v>18170</v>
      </c>
      <c r="K106" s="52">
        <v>1995</v>
      </c>
      <c r="L106" s="57" t="s">
        <v>1770</v>
      </c>
      <c r="M106" s="228">
        <v>46758</v>
      </c>
      <c r="N106" s="52">
        <v>2023</v>
      </c>
      <c r="O106" s="44">
        <f t="shared" si="9"/>
        <v>0.38859660378972583</v>
      </c>
      <c r="P106" s="227">
        <v>4.05</v>
      </c>
      <c r="Q106" s="227">
        <v>8.52</v>
      </c>
      <c r="R106" s="227">
        <v>13.03</v>
      </c>
      <c r="S106" s="227">
        <v>20.2</v>
      </c>
      <c r="T106" s="227">
        <v>54.21</v>
      </c>
      <c r="U106" s="233">
        <f t="shared" si="14"/>
        <v>5952.2171012658227</v>
      </c>
      <c r="V106" s="233">
        <f t="shared" si="10"/>
        <v>12521.701161181434</v>
      </c>
      <c r="W106" s="233">
        <f t="shared" si="11"/>
        <v>19149.972550492264</v>
      </c>
      <c r="X106" s="233">
        <f t="shared" si="12"/>
        <v>29687.601344585088</v>
      </c>
      <c r="Y106" s="233">
        <f t="shared" si="13"/>
        <v>79671.528162869188</v>
      </c>
      <c r="Z106" s="58">
        <f t="shared" si="15"/>
        <v>9236.959131223628</v>
      </c>
      <c r="AA106" s="58">
        <f t="shared" si="16"/>
        <v>19149.972550492264</v>
      </c>
      <c r="AB106" s="58">
        <f t="shared" si="17"/>
        <v>79671.528162869188</v>
      </c>
    </row>
    <row r="107" spans="1:28">
      <c r="A107" s="52" t="s">
        <v>488</v>
      </c>
      <c r="B107" s="52" t="s">
        <v>489</v>
      </c>
      <c r="C107" s="52" t="s">
        <v>114</v>
      </c>
      <c r="D107" s="52" t="s">
        <v>121</v>
      </c>
      <c r="E107" s="225">
        <v>1712792854202.3687</v>
      </c>
      <c r="F107" s="52">
        <v>2023</v>
      </c>
      <c r="G107" s="57" t="s">
        <v>1763</v>
      </c>
      <c r="H107" s="226">
        <v>59.401000000000003</v>
      </c>
      <c r="I107" s="52">
        <v>2024</v>
      </c>
      <c r="J107" s="228">
        <v>29516964</v>
      </c>
      <c r="K107" s="52">
        <v>2024</v>
      </c>
      <c r="L107" s="52" t="s">
        <v>1769</v>
      </c>
      <c r="M107" s="228">
        <v>51712619</v>
      </c>
      <c r="N107" s="52">
        <v>2023</v>
      </c>
      <c r="O107" s="44">
        <f t="shared" si="9"/>
        <v>0.57078841820020754</v>
      </c>
      <c r="P107" s="227">
        <v>7.34</v>
      </c>
      <c r="Q107" s="227">
        <v>12.96</v>
      </c>
      <c r="R107" s="227">
        <v>17.43</v>
      </c>
      <c r="S107" s="227">
        <v>23.02</v>
      </c>
      <c r="T107" s="227">
        <v>39.26</v>
      </c>
      <c r="U107" s="233">
        <f t="shared" si="14"/>
        <v>12650.071415887583</v>
      </c>
      <c r="V107" s="233">
        <f t="shared" si="10"/>
        <v>22335.820919605329</v>
      </c>
      <c r="W107" s="233">
        <f t="shared" si="11"/>
        <v>30039.611005302537</v>
      </c>
      <c r="X107" s="233">
        <f t="shared" si="12"/>
        <v>39673.657219854525</v>
      </c>
      <c r="Y107" s="233">
        <f t="shared" si="13"/>
        <v>67662.371088248852</v>
      </c>
      <c r="Z107" s="58">
        <f t="shared" si="15"/>
        <v>17492.946167746457</v>
      </c>
      <c r="AA107" s="58">
        <f t="shared" si="16"/>
        <v>30039.611005302537</v>
      </c>
      <c r="AB107" s="58">
        <f t="shared" si="17"/>
        <v>67662.371088248852</v>
      </c>
    </row>
    <row r="108" spans="1:28">
      <c r="A108" s="52" t="s">
        <v>700</v>
      </c>
      <c r="B108" s="52" t="s">
        <v>701</v>
      </c>
      <c r="C108" s="52" t="s">
        <v>117</v>
      </c>
      <c r="D108" s="52" t="s">
        <v>121</v>
      </c>
      <c r="E108" s="225">
        <v>163704878875.8504</v>
      </c>
      <c r="F108" s="52">
        <v>2023</v>
      </c>
      <c r="G108" s="57" t="s">
        <v>1763</v>
      </c>
      <c r="H108" s="226">
        <v>37.866</v>
      </c>
      <c r="I108" s="52">
        <v>2024</v>
      </c>
      <c r="J108" s="228">
        <v>2705613</v>
      </c>
      <c r="K108" s="52">
        <v>2017</v>
      </c>
      <c r="L108" s="52" t="s">
        <v>1769</v>
      </c>
      <c r="M108" s="228">
        <v>4853420</v>
      </c>
      <c r="N108" s="52">
        <v>2023</v>
      </c>
      <c r="O108" s="44">
        <f t="shared" si="9"/>
        <v>0.5574652513073256</v>
      </c>
      <c r="P108" s="227">
        <v>5.0199999999999996</v>
      </c>
      <c r="Q108" s="227">
        <v>10.07</v>
      </c>
      <c r="R108" s="227">
        <v>15.8</v>
      </c>
      <c r="S108" s="227">
        <v>23.37</v>
      </c>
      <c r="T108" s="227">
        <v>45.73</v>
      </c>
      <c r="U108" s="233">
        <f t="shared" si="14"/>
        <v>5750.6786255896568</v>
      </c>
      <c r="V108" s="233">
        <f t="shared" si="10"/>
        <v>11535.723856511524</v>
      </c>
      <c r="W108" s="233">
        <f t="shared" si="11"/>
        <v>18099.745474963463</v>
      </c>
      <c r="X108" s="233">
        <f t="shared" si="12"/>
        <v>26771.585553790894</v>
      </c>
      <c r="Y108" s="233">
        <f t="shared" si="13"/>
        <v>52386.162061397416</v>
      </c>
      <c r="Z108" s="58">
        <f t="shared" si="15"/>
        <v>8643.2012410505904</v>
      </c>
      <c r="AA108" s="58">
        <f t="shared" si="16"/>
        <v>18099.745474963463</v>
      </c>
      <c r="AB108" s="58">
        <f t="shared" si="17"/>
        <v>52386.162061397416</v>
      </c>
    </row>
    <row r="109" spans="1:28">
      <c r="A109" s="52" t="s">
        <v>492</v>
      </c>
      <c r="B109" s="52" t="s">
        <v>493</v>
      </c>
      <c r="C109" s="52" t="s">
        <v>114</v>
      </c>
      <c r="D109" s="52" t="s">
        <v>325</v>
      </c>
      <c r="E109" s="225">
        <v>15843155731.255178</v>
      </c>
      <c r="F109" s="52">
        <v>2023</v>
      </c>
      <c r="G109" s="57" t="s">
        <v>1763</v>
      </c>
      <c r="H109" s="226">
        <v>45.652000000000001</v>
      </c>
      <c r="I109" s="52">
        <v>2024</v>
      </c>
      <c r="J109" s="228">
        <v>3552209</v>
      </c>
      <c r="K109" s="52">
        <v>2022</v>
      </c>
      <c r="L109" s="52" t="s">
        <v>1769</v>
      </c>
      <c r="M109" s="228">
        <v>7664993</v>
      </c>
      <c r="N109" s="52">
        <v>2023</v>
      </c>
      <c r="O109" s="44">
        <f t="shared" si="9"/>
        <v>0.4634327780860335</v>
      </c>
      <c r="P109" s="227">
        <v>6.57</v>
      </c>
      <c r="Q109" s="227">
        <v>10.43</v>
      </c>
      <c r="R109" s="227">
        <v>14.49</v>
      </c>
      <c r="S109" s="227">
        <v>20.67</v>
      </c>
      <c r="T109" s="227">
        <v>47.85</v>
      </c>
      <c r="U109" s="233">
        <f t="shared" si="14"/>
        <v>668.86483418659043</v>
      </c>
      <c r="V109" s="233">
        <f t="shared" si="10"/>
        <v>1061.8356500100665</v>
      </c>
      <c r="W109" s="233">
        <f t="shared" si="11"/>
        <v>1475.1676480005622</v>
      </c>
      <c r="X109" s="233">
        <f t="shared" si="12"/>
        <v>2104.328176961465</v>
      </c>
      <c r="Y109" s="233">
        <f t="shared" si="13"/>
        <v>4871.4128334594134</v>
      </c>
      <c r="Z109" s="58">
        <f t="shared" si="15"/>
        <v>865.35024209832841</v>
      </c>
      <c r="AA109" s="58">
        <f t="shared" si="16"/>
        <v>1475.1676480005622</v>
      </c>
      <c r="AB109" s="58">
        <f t="shared" si="17"/>
        <v>4871.4128334594134</v>
      </c>
    </row>
    <row r="110" spans="1:28">
      <c r="A110" s="52" t="s">
        <v>496</v>
      </c>
      <c r="B110" s="52" t="s">
        <v>497</v>
      </c>
      <c r="C110" s="52" t="s">
        <v>117</v>
      </c>
      <c r="D110" s="52" t="s">
        <v>325</v>
      </c>
      <c r="E110" s="225">
        <v>20992421948.808086</v>
      </c>
      <c r="F110" s="52">
        <v>2022</v>
      </c>
      <c r="G110" s="57" t="s">
        <v>1763</v>
      </c>
      <c r="H110" s="226">
        <v>42.487000000000002</v>
      </c>
      <c r="I110" s="52">
        <v>2024</v>
      </c>
      <c r="J110" s="228">
        <v>1797882</v>
      </c>
      <c r="K110" s="52">
        <v>2019</v>
      </c>
      <c r="L110" s="52" t="s">
        <v>1769</v>
      </c>
      <c r="M110" s="228">
        <v>5773493</v>
      </c>
      <c r="N110" s="52">
        <v>2023</v>
      </c>
      <c r="O110" s="44">
        <f t="shared" si="9"/>
        <v>0.31140281974880718</v>
      </c>
      <c r="P110" s="227">
        <v>6.74</v>
      </c>
      <c r="Q110" s="227">
        <v>11.81</v>
      </c>
      <c r="R110" s="227">
        <v>16.36</v>
      </c>
      <c r="S110" s="227">
        <v>22.23</v>
      </c>
      <c r="T110" s="227">
        <v>42.86</v>
      </c>
      <c r="U110" s="233">
        <f t="shared" si="14"/>
        <v>1671.8115847494225</v>
      </c>
      <c r="V110" s="233">
        <f t="shared" si="10"/>
        <v>2929.3909222389734</v>
      </c>
      <c r="W110" s="233">
        <f t="shared" si="11"/>
        <v>4057.9877635757484</v>
      </c>
      <c r="X110" s="233">
        <f t="shared" si="12"/>
        <v>5514.0017105311063</v>
      </c>
      <c r="Y110" s="233">
        <f t="shared" si="13"/>
        <v>10631.134202130599</v>
      </c>
      <c r="Z110" s="58">
        <f t="shared" si="15"/>
        <v>2300.6012534941979</v>
      </c>
      <c r="AA110" s="58">
        <f t="shared" si="16"/>
        <v>4057.9877635757484</v>
      </c>
      <c r="AB110" s="58">
        <f t="shared" si="17"/>
        <v>10631.134202130599</v>
      </c>
    </row>
    <row r="111" spans="1:28">
      <c r="A111" s="52" t="s">
        <v>500</v>
      </c>
      <c r="B111" s="52" t="s">
        <v>501</v>
      </c>
      <c r="C111" s="52" t="s">
        <v>119</v>
      </c>
      <c r="D111" s="52" t="s">
        <v>319</v>
      </c>
      <c r="E111" s="225">
        <v>4240000000</v>
      </c>
      <c r="F111" s="52">
        <v>2023</v>
      </c>
      <c r="G111" s="57" t="s">
        <v>1763</v>
      </c>
      <c r="H111" s="226">
        <v>37.066000000000003</v>
      </c>
      <c r="I111" s="52">
        <v>2024</v>
      </c>
      <c r="J111" s="228">
        <v>1100151</v>
      </c>
      <c r="K111" s="52">
        <v>2017</v>
      </c>
      <c r="L111" s="52" t="s">
        <v>1769</v>
      </c>
      <c r="M111" s="228">
        <v>5493031</v>
      </c>
      <c r="N111" s="52">
        <v>2023</v>
      </c>
      <c r="O111" s="44">
        <f t="shared" si="9"/>
        <v>0.20028122907007079</v>
      </c>
      <c r="P111" s="227">
        <v>3.97</v>
      </c>
      <c r="Q111" s="227">
        <v>7.9</v>
      </c>
      <c r="R111" s="227">
        <v>12.27</v>
      </c>
      <c r="S111" s="227">
        <v>19.95</v>
      </c>
      <c r="T111" s="227">
        <v>55.91</v>
      </c>
      <c r="U111" s="233">
        <f t="shared" si="14"/>
        <v>283.5631494222157</v>
      </c>
      <c r="V111" s="233">
        <f t="shared" si="10"/>
        <v>564.26923940440906</v>
      </c>
      <c r="W111" s="233">
        <f t="shared" si="11"/>
        <v>876.40298322684794</v>
      </c>
      <c r="X111" s="233">
        <f t="shared" si="12"/>
        <v>1424.9583957111342</v>
      </c>
      <c r="Y111" s="233">
        <f t="shared" si="13"/>
        <v>3993.4548322912033</v>
      </c>
      <c r="Z111" s="58">
        <f t="shared" si="15"/>
        <v>423.91619441331238</v>
      </c>
      <c r="AA111" s="58">
        <f t="shared" si="16"/>
        <v>876.40298322684794</v>
      </c>
      <c r="AB111" s="58">
        <f t="shared" si="17"/>
        <v>3993.4548322912033</v>
      </c>
    </row>
    <row r="112" spans="1:28">
      <c r="A112" s="52" t="s">
        <v>702</v>
      </c>
      <c r="B112" s="52" t="s">
        <v>703</v>
      </c>
      <c r="C112" s="52" t="s">
        <v>117</v>
      </c>
      <c r="D112" s="52" t="s">
        <v>322</v>
      </c>
      <c r="E112" s="225">
        <v>45096462972.40136</v>
      </c>
      <c r="F112" s="52">
        <v>2023</v>
      </c>
      <c r="G112" s="57" t="s">
        <v>1763</v>
      </c>
      <c r="H112" s="226">
        <v>39.941000000000003</v>
      </c>
      <c r="I112" s="52">
        <v>2024</v>
      </c>
      <c r="J112" s="228">
        <v>2534000</v>
      </c>
      <c r="K112" s="52">
        <v>2023</v>
      </c>
      <c r="L112" s="52" t="s">
        <v>1770</v>
      </c>
      <c r="M112" s="228">
        <v>7305659</v>
      </c>
      <c r="N112" s="52">
        <v>2023</v>
      </c>
      <c r="O112" s="44">
        <f t="shared" si="9"/>
        <v>0.34685440423649666</v>
      </c>
      <c r="P112" s="227">
        <v>5.75</v>
      </c>
      <c r="Q112" s="227">
        <v>10.86</v>
      </c>
      <c r="R112" s="227">
        <v>15.4</v>
      </c>
      <c r="S112" s="227">
        <v>21.63</v>
      </c>
      <c r="T112" s="227">
        <v>46.37</v>
      </c>
      <c r="U112" s="233">
        <f t="shared" si="14"/>
        <v>2043.5847491296224</v>
      </c>
      <c r="V112" s="233">
        <f t="shared" si="10"/>
        <v>3859.7096305300342</v>
      </c>
      <c r="W112" s="233">
        <f t="shared" si="11"/>
        <v>5473.253067234119</v>
      </c>
      <c r="X112" s="233">
        <f t="shared" si="12"/>
        <v>7687.4327171606501</v>
      </c>
      <c r="Y112" s="233">
        <f t="shared" si="13"/>
        <v>16480.178229067929</v>
      </c>
      <c r="Z112" s="58">
        <f t="shared" si="15"/>
        <v>2951.6471898298282</v>
      </c>
      <c r="AA112" s="58">
        <f t="shared" si="16"/>
        <v>5473.253067234119</v>
      </c>
      <c r="AB112" s="58">
        <f t="shared" si="17"/>
        <v>16480.178229067929</v>
      </c>
    </row>
    <row r="113" spans="1:28">
      <c r="A113" s="52" t="s">
        <v>618</v>
      </c>
      <c r="B113" s="52" t="s">
        <v>619</v>
      </c>
      <c r="C113" s="52" t="s">
        <v>116</v>
      </c>
      <c r="D113" s="52" t="s">
        <v>322</v>
      </c>
      <c r="E113" s="225">
        <v>2430148148.1481481</v>
      </c>
      <c r="F113" s="52">
        <v>2023</v>
      </c>
      <c r="G113" s="57" t="s">
        <v>1763</v>
      </c>
      <c r="H113" s="226">
        <v>47.7</v>
      </c>
      <c r="I113" s="52">
        <v>2024</v>
      </c>
      <c r="J113" s="228">
        <v>107498</v>
      </c>
      <c r="K113" s="52">
        <v>2023</v>
      </c>
      <c r="L113" s="52" t="s">
        <v>1769</v>
      </c>
      <c r="M113" s="228">
        <v>179285</v>
      </c>
      <c r="N113" s="52">
        <v>2023</v>
      </c>
      <c r="O113" s="44">
        <f t="shared" si="9"/>
        <v>0.59959282706305606</v>
      </c>
      <c r="P113" s="227">
        <v>3.13</v>
      </c>
      <c r="Q113" s="227">
        <v>7.95</v>
      </c>
      <c r="R113" s="227">
        <v>12.97</v>
      </c>
      <c r="S113" s="227">
        <v>20.56</v>
      </c>
      <c r="T113" s="227">
        <v>55.39</v>
      </c>
      <c r="U113" s="233">
        <f t="shared" si="14"/>
        <v>1687.5827860363295</v>
      </c>
      <c r="V113" s="233">
        <f t="shared" si="10"/>
        <v>4286.3524437663955</v>
      </c>
      <c r="W113" s="233">
        <f t="shared" si="11"/>
        <v>6992.954867377377</v>
      </c>
      <c r="X113" s="233">
        <f t="shared" si="12"/>
        <v>11085.208332558122</v>
      </c>
      <c r="Y113" s="233">
        <f t="shared" si="13"/>
        <v>29864.284510719583</v>
      </c>
      <c r="Z113" s="58">
        <f t="shared" si="15"/>
        <v>2986.9676149013626</v>
      </c>
      <c r="AA113" s="58">
        <f t="shared" si="16"/>
        <v>6992.954867377377</v>
      </c>
      <c r="AB113" s="58">
        <f t="shared" si="17"/>
        <v>29864.284510719583</v>
      </c>
    </row>
    <row r="114" spans="1:28">
      <c r="A114" s="52" t="s">
        <v>704</v>
      </c>
      <c r="B114" s="52" t="s">
        <v>705</v>
      </c>
      <c r="C114" s="52" t="s">
        <v>115</v>
      </c>
      <c r="D114" s="52" t="s">
        <v>121</v>
      </c>
      <c r="E114" s="225">
        <v>7361504432.1933069</v>
      </c>
      <c r="F114" s="52">
        <v>2022</v>
      </c>
      <c r="G114" s="57" t="s">
        <v>1763</v>
      </c>
      <c r="H114" s="226">
        <v>57.1</v>
      </c>
      <c r="I114" s="52">
        <v>2024</v>
      </c>
      <c r="J114" s="228">
        <v>19653</v>
      </c>
      <c r="K114" s="52">
        <v>2017</v>
      </c>
      <c r="L114" s="52" t="s">
        <v>1769</v>
      </c>
      <c r="M114" s="228">
        <v>39850</v>
      </c>
      <c r="N114" s="52">
        <v>2023</v>
      </c>
      <c r="O114" s="44">
        <f t="shared" si="9"/>
        <v>0.49317440401505647</v>
      </c>
      <c r="P114" s="227">
        <v>7.34</v>
      </c>
      <c r="Q114" s="227">
        <v>12.84</v>
      </c>
      <c r="R114" s="227">
        <v>17.21</v>
      </c>
      <c r="S114" s="227">
        <v>22.81</v>
      </c>
      <c r="T114" s="227">
        <v>39.81</v>
      </c>
      <c r="U114" s="233">
        <f t="shared" si="14"/>
        <v>78494.620887250421</v>
      </c>
      <c r="V114" s="233">
        <f t="shared" si="10"/>
        <v>137312.11610249255</v>
      </c>
      <c r="W114" s="233">
        <f t="shared" si="11"/>
        <v>184045.28957351227</v>
      </c>
      <c r="X114" s="233">
        <f t="shared" si="12"/>
        <v>243932.19379266791</v>
      </c>
      <c r="Y114" s="233">
        <f t="shared" si="13"/>
        <v>425731.72445796191</v>
      </c>
      <c r="Z114" s="58">
        <f t="shared" si="15"/>
        <v>107903.36849487148</v>
      </c>
      <c r="AA114" s="58">
        <f t="shared" si="16"/>
        <v>184045.28957351227</v>
      </c>
      <c r="AB114" s="58">
        <f t="shared" si="17"/>
        <v>425731.72445796191</v>
      </c>
    </row>
    <row r="115" spans="1:28">
      <c r="A115" s="52" t="s">
        <v>614</v>
      </c>
      <c r="B115" s="52" t="s">
        <v>615</v>
      </c>
      <c r="C115" s="52" t="s">
        <v>118</v>
      </c>
      <c r="D115" s="52" t="s">
        <v>325</v>
      </c>
      <c r="E115" s="225">
        <v>84356863743.633545</v>
      </c>
      <c r="F115" s="52">
        <v>2023</v>
      </c>
      <c r="G115" s="57" t="s">
        <v>1763</v>
      </c>
      <c r="H115" s="226">
        <v>34.414999999999999</v>
      </c>
      <c r="I115" s="52">
        <v>2024</v>
      </c>
      <c r="J115" s="228">
        <v>8534179</v>
      </c>
      <c r="K115" s="52">
        <v>2022</v>
      </c>
      <c r="L115" s="52" t="s">
        <v>1769</v>
      </c>
      <c r="M115" s="228">
        <v>22037000</v>
      </c>
      <c r="N115" s="52">
        <v>2023</v>
      </c>
      <c r="O115" s="44">
        <f t="shared" si="9"/>
        <v>0.38726591641330488</v>
      </c>
      <c r="P115" s="227">
        <v>4.8499999999999996</v>
      </c>
      <c r="Q115" s="227">
        <v>9.1999999999999993</v>
      </c>
      <c r="R115" s="227">
        <v>13.56</v>
      </c>
      <c r="S115" s="227">
        <v>20.37</v>
      </c>
      <c r="T115" s="227">
        <v>52.03</v>
      </c>
      <c r="U115" s="233">
        <f t="shared" si="14"/>
        <v>824.93208244314826</v>
      </c>
      <c r="V115" s="233">
        <f t="shared" si="10"/>
        <v>1564.8196203045288</v>
      </c>
      <c r="W115" s="233">
        <f t="shared" si="11"/>
        <v>2306.4080490575448</v>
      </c>
      <c r="X115" s="233">
        <f t="shared" si="12"/>
        <v>3464.7147462612234</v>
      </c>
      <c r="Y115" s="233">
        <f t="shared" si="13"/>
        <v>8849.7353091787645</v>
      </c>
      <c r="Z115" s="58">
        <f t="shared" si="15"/>
        <v>1194.8758513738385</v>
      </c>
      <c r="AA115" s="58">
        <f t="shared" si="16"/>
        <v>2306.4080490575448</v>
      </c>
      <c r="AB115" s="58">
        <f t="shared" si="17"/>
        <v>8849.7353091787645</v>
      </c>
    </row>
    <row r="116" spans="1:28">
      <c r="A116" s="52" t="s">
        <v>498</v>
      </c>
      <c r="B116" s="52" t="s">
        <v>499</v>
      </c>
      <c r="C116" s="52" t="s">
        <v>119</v>
      </c>
      <c r="D116" s="52" t="s">
        <v>325</v>
      </c>
      <c r="E116" s="225">
        <v>2117962450.7946885</v>
      </c>
      <c r="F116" s="52">
        <v>2023</v>
      </c>
      <c r="G116" s="57" t="s">
        <v>1763</v>
      </c>
      <c r="H116" s="226">
        <v>54.35</v>
      </c>
      <c r="I116" s="52">
        <v>2024</v>
      </c>
      <c r="J116" s="228">
        <v>776478</v>
      </c>
      <c r="K116" s="52">
        <v>2019</v>
      </c>
      <c r="L116" s="52" t="s">
        <v>1769</v>
      </c>
      <c r="M116" s="228">
        <v>2311472</v>
      </c>
      <c r="N116" s="52">
        <v>2023</v>
      </c>
      <c r="O116" s="44">
        <f t="shared" si="9"/>
        <v>0.33592360192985249</v>
      </c>
      <c r="P116" s="227">
        <v>1.98</v>
      </c>
      <c r="Q116" s="227">
        <v>6.02</v>
      </c>
      <c r="R116" s="227">
        <v>11.15</v>
      </c>
      <c r="S116" s="227">
        <v>19.59</v>
      </c>
      <c r="T116" s="227">
        <v>61.25</v>
      </c>
      <c r="U116" s="233">
        <f t="shared" si="14"/>
        <v>146.76545453790627</v>
      </c>
      <c r="V116" s="233">
        <f t="shared" si="10"/>
        <v>446.22628096878577</v>
      </c>
      <c r="W116" s="233">
        <f t="shared" si="11"/>
        <v>826.48223136245213</v>
      </c>
      <c r="X116" s="233">
        <f t="shared" si="12"/>
        <v>1452.0885123220121</v>
      </c>
      <c r="Y116" s="233">
        <f t="shared" si="13"/>
        <v>4540.0929749731113</v>
      </c>
      <c r="Z116" s="58">
        <f t="shared" si="15"/>
        <v>296.49586775334603</v>
      </c>
      <c r="AA116" s="58">
        <f t="shared" si="16"/>
        <v>826.48223136245213</v>
      </c>
      <c r="AB116" s="58">
        <f t="shared" si="17"/>
        <v>4540.0929749731113</v>
      </c>
    </row>
    <row r="117" spans="1:28">
      <c r="A117" s="52" t="s">
        <v>502</v>
      </c>
      <c r="B117" s="52" t="s">
        <v>503</v>
      </c>
      <c r="C117" s="52" t="s">
        <v>115</v>
      </c>
      <c r="D117" s="52" t="s">
        <v>121</v>
      </c>
      <c r="E117" s="225">
        <v>79789877416.168076</v>
      </c>
      <c r="F117" s="52">
        <v>2023</v>
      </c>
      <c r="G117" s="57" t="s">
        <v>1763</v>
      </c>
      <c r="H117" s="226">
        <v>55.680999999999997</v>
      </c>
      <c r="I117" s="52">
        <v>2024</v>
      </c>
      <c r="J117" s="228">
        <v>1546917</v>
      </c>
      <c r="K117" s="52">
        <v>2023</v>
      </c>
      <c r="L117" s="52" t="s">
        <v>1769</v>
      </c>
      <c r="M117" s="228">
        <v>2871585</v>
      </c>
      <c r="N117" s="52">
        <v>2023</v>
      </c>
      <c r="O117" s="44">
        <f t="shared" si="9"/>
        <v>0.53869796645406631</v>
      </c>
      <c r="P117" s="227">
        <v>6.7</v>
      </c>
      <c r="Q117" s="227">
        <v>12.03</v>
      </c>
      <c r="R117" s="227">
        <v>16.25</v>
      </c>
      <c r="S117" s="227">
        <v>22.41</v>
      </c>
      <c r="T117" s="227">
        <v>42.61</v>
      </c>
      <c r="U117" s="233">
        <f t="shared" si="14"/>
        <v>9621.2748006339989</v>
      </c>
      <c r="V117" s="233">
        <f t="shared" si="10"/>
        <v>17275.214306212984</v>
      </c>
      <c r="W117" s="233">
        <f t="shared" si="11"/>
        <v>23335.18141944813</v>
      </c>
      <c r="X117" s="233">
        <f t="shared" si="12"/>
        <v>32181.010191374309</v>
      </c>
      <c r="Y117" s="233">
        <f t="shared" si="13"/>
        <v>61188.435709703677</v>
      </c>
      <c r="Z117" s="58">
        <f t="shared" si="15"/>
        <v>13448.24455342349</v>
      </c>
      <c r="AA117" s="58">
        <f t="shared" si="16"/>
        <v>23335.18141944813</v>
      </c>
      <c r="AB117" s="58">
        <f t="shared" si="17"/>
        <v>61188.435709703677</v>
      </c>
    </row>
    <row r="118" spans="1:28">
      <c r="A118" s="52" t="s">
        <v>504</v>
      </c>
      <c r="B118" s="52" t="s">
        <v>505</v>
      </c>
      <c r="C118" s="52" t="s">
        <v>115</v>
      </c>
      <c r="D118" s="52" t="s">
        <v>121</v>
      </c>
      <c r="E118" s="225">
        <v>85755006123.597595</v>
      </c>
      <c r="F118" s="52">
        <v>2023</v>
      </c>
      <c r="G118" s="57" t="s">
        <v>1763</v>
      </c>
      <c r="H118" s="226">
        <v>54.962000000000003</v>
      </c>
      <c r="I118" s="52">
        <v>2024</v>
      </c>
      <c r="J118" s="228">
        <v>339289</v>
      </c>
      <c r="K118" s="52">
        <v>2023</v>
      </c>
      <c r="L118" s="52" t="s">
        <v>1769</v>
      </c>
      <c r="M118" s="228">
        <v>666430</v>
      </c>
      <c r="N118" s="52">
        <v>2023</v>
      </c>
      <c r="O118" s="44">
        <f t="shared" si="9"/>
        <v>0.50911423555362156</v>
      </c>
      <c r="P118" s="227">
        <v>6.9</v>
      </c>
      <c r="Q118" s="227">
        <v>11.73</v>
      </c>
      <c r="R118" s="227">
        <v>16.510000000000002</v>
      </c>
      <c r="S118" s="227">
        <v>23.13</v>
      </c>
      <c r="T118" s="227">
        <v>41.72</v>
      </c>
      <c r="U118" s="233">
        <f t="shared" si="14"/>
        <v>47926.015669974091</v>
      </c>
      <c r="V118" s="233">
        <f t="shared" si="10"/>
        <v>81474.226638955966</v>
      </c>
      <c r="W118" s="233">
        <f t="shared" si="11"/>
        <v>114675.14763931483</v>
      </c>
      <c r="X118" s="233">
        <f t="shared" si="12"/>
        <v>160656.33948500009</v>
      </c>
      <c r="Y118" s="233">
        <f t="shared" si="13"/>
        <v>289778.74981903174</v>
      </c>
      <c r="Z118" s="58">
        <f t="shared" si="15"/>
        <v>64700.121154465029</v>
      </c>
      <c r="AA118" s="58">
        <f t="shared" si="16"/>
        <v>114675.14763931483</v>
      </c>
      <c r="AB118" s="58">
        <f t="shared" si="17"/>
        <v>289778.74981903174</v>
      </c>
    </row>
    <row r="119" spans="1:28">
      <c r="A119" s="52" t="s">
        <v>494</v>
      </c>
      <c r="B119" s="52" t="s">
        <v>495</v>
      </c>
      <c r="C119" s="52" t="s">
        <v>115</v>
      </c>
      <c r="D119" s="52" t="s">
        <v>121</v>
      </c>
      <c r="E119" s="225">
        <v>42247850064.512512</v>
      </c>
      <c r="F119" s="52">
        <v>2023</v>
      </c>
      <c r="G119" s="57" t="s">
        <v>1763</v>
      </c>
      <c r="H119" s="226">
        <v>62.145000000000003</v>
      </c>
      <c r="I119" s="52">
        <v>2024</v>
      </c>
      <c r="J119" s="228">
        <v>951387</v>
      </c>
      <c r="K119" s="52">
        <v>2023</v>
      </c>
      <c r="L119" s="52" t="s">
        <v>1769</v>
      </c>
      <c r="M119" s="228">
        <v>1877445</v>
      </c>
      <c r="N119" s="52">
        <v>2023</v>
      </c>
      <c r="O119" s="44">
        <f t="shared" si="9"/>
        <v>0.50674560373273247</v>
      </c>
      <c r="P119" s="227">
        <v>7</v>
      </c>
      <c r="Q119" s="227">
        <v>12.15</v>
      </c>
      <c r="R119" s="227">
        <v>16.39</v>
      </c>
      <c r="S119" s="227">
        <v>22.36</v>
      </c>
      <c r="T119" s="227">
        <v>42.09</v>
      </c>
      <c r="U119" s="233">
        <f t="shared" si="14"/>
        <v>9658.7658312621006</v>
      </c>
      <c r="V119" s="233">
        <f t="shared" si="10"/>
        <v>16764.857835690644</v>
      </c>
      <c r="W119" s="233">
        <f t="shared" si="11"/>
        <v>22615.310282055118</v>
      </c>
      <c r="X119" s="233">
        <f t="shared" si="12"/>
        <v>30852.857712431505</v>
      </c>
      <c r="Y119" s="233">
        <f t="shared" si="13"/>
        <v>58076.779119688836</v>
      </c>
      <c r="Z119" s="58">
        <f t="shared" si="15"/>
        <v>13211.811833476371</v>
      </c>
      <c r="AA119" s="58">
        <f t="shared" si="16"/>
        <v>22615.310282055118</v>
      </c>
      <c r="AB119" s="58">
        <f t="shared" si="17"/>
        <v>58076.779119688836</v>
      </c>
    </row>
    <row r="120" spans="1:28">
      <c r="A120" s="52" t="s">
        <v>506</v>
      </c>
      <c r="B120" s="52" t="s">
        <v>507</v>
      </c>
      <c r="C120" s="52" t="s">
        <v>114</v>
      </c>
      <c r="D120" s="52" t="s">
        <v>121</v>
      </c>
      <c r="E120" s="225">
        <v>45803067940.407196</v>
      </c>
      <c r="F120" s="52">
        <v>2023</v>
      </c>
      <c r="G120" s="57" t="s">
        <v>1763</v>
      </c>
      <c r="H120" s="226">
        <v>30.207999999999998</v>
      </c>
      <c r="I120" s="52">
        <v>2024</v>
      </c>
      <c r="J120" s="228">
        <v>405250</v>
      </c>
      <c r="K120" s="52">
        <v>2020</v>
      </c>
      <c r="L120" s="52" t="s">
        <v>1769</v>
      </c>
      <c r="M120" s="228">
        <v>678800</v>
      </c>
      <c r="N120" s="52">
        <v>2023</v>
      </c>
      <c r="O120" s="44">
        <f t="shared" si="9"/>
        <v>0.59700942840306426</v>
      </c>
      <c r="P120" s="227">
        <v>7.51</v>
      </c>
      <c r="Q120" s="227">
        <v>12.66</v>
      </c>
      <c r="R120" s="227">
        <v>16.649999999999999</v>
      </c>
      <c r="S120" s="227">
        <v>22.1</v>
      </c>
      <c r="T120" s="227">
        <v>41.07</v>
      </c>
      <c r="U120" s="233">
        <f t="shared" si="14"/>
        <v>12820.455599435028</v>
      </c>
      <c r="V120" s="233">
        <f t="shared" si="10"/>
        <v>21612.112901311244</v>
      </c>
      <c r="W120" s="233">
        <f t="shared" si="11"/>
        <v>28423.513412861943</v>
      </c>
      <c r="X120" s="233">
        <f t="shared" si="12"/>
        <v>37727.306091546488</v>
      </c>
      <c r="Y120" s="233">
        <f t="shared" si="13"/>
        <v>70111.333085059479</v>
      </c>
      <c r="Z120" s="58">
        <f t="shared" si="15"/>
        <v>17216.284250373137</v>
      </c>
      <c r="AA120" s="58">
        <f t="shared" si="16"/>
        <v>28423.513412861943</v>
      </c>
      <c r="AB120" s="58">
        <f t="shared" si="17"/>
        <v>70111.333085059479</v>
      </c>
    </row>
    <row r="121" spans="1:28">
      <c r="A121" s="52" t="s">
        <v>756</v>
      </c>
      <c r="B121" s="52" t="s">
        <v>757</v>
      </c>
      <c r="C121" s="52" t="s">
        <v>116</v>
      </c>
      <c r="D121" s="52" t="s">
        <v>121</v>
      </c>
      <c r="E121" s="225">
        <v>649206263</v>
      </c>
      <c r="F121" s="52">
        <v>2021</v>
      </c>
      <c r="G121" s="52" t="s">
        <v>1763</v>
      </c>
      <c r="H121" s="226">
        <v>50.6</v>
      </c>
      <c r="I121" s="52">
        <v>2024</v>
      </c>
      <c r="J121" s="228">
        <v>12362.767507222354</v>
      </c>
      <c r="K121" s="52">
        <v>2023</v>
      </c>
      <c r="L121" s="52" t="s">
        <v>1772</v>
      </c>
      <c r="M121" s="228">
        <v>27515</v>
      </c>
      <c r="N121" s="52">
        <v>2023</v>
      </c>
      <c r="O121" s="44">
        <f t="shared" si="9"/>
        <v>0.44931010384235343</v>
      </c>
      <c r="P121" s="227">
        <v>3.9849999999999994</v>
      </c>
      <c r="Q121" s="227">
        <v>8.5437499999999993</v>
      </c>
      <c r="R121" s="227">
        <v>13.252500000000001</v>
      </c>
      <c r="S121" s="227">
        <v>20.580000000000002</v>
      </c>
      <c r="T121" s="227">
        <v>53.643125000000005</v>
      </c>
      <c r="U121" s="233">
        <f t="shared" si="14"/>
        <v>5294.3889788879023</v>
      </c>
      <c r="V121" s="233">
        <f t="shared" si="10"/>
        <v>11351.050398588084</v>
      </c>
      <c r="W121" s="233">
        <f t="shared" si="11"/>
        <v>17606.998730918931</v>
      </c>
      <c r="X121" s="233">
        <f t="shared" si="12"/>
        <v>27342.164412926733</v>
      </c>
      <c r="Y121" s="233">
        <f t="shared" si="13"/>
        <v>71269.151767404299</v>
      </c>
      <c r="Z121" s="58">
        <f t="shared" si="15"/>
        <v>8322.7196887379941</v>
      </c>
      <c r="AA121" s="58">
        <f t="shared" si="16"/>
        <v>17606.998730918931</v>
      </c>
      <c r="AB121" s="58">
        <f t="shared" si="17"/>
        <v>71269.151767404299</v>
      </c>
    </row>
    <row r="122" spans="1:28">
      <c r="A122" s="52" t="s">
        <v>536</v>
      </c>
      <c r="B122" s="52" t="s">
        <v>537</v>
      </c>
      <c r="C122" s="52" t="s">
        <v>117</v>
      </c>
      <c r="D122" s="52" t="s">
        <v>325</v>
      </c>
      <c r="E122" s="225">
        <v>144417103249.64584</v>
      </c>
      <c r="F122" s="52">
        <v>2023</v>
      </c>
      <c r="G122" s="57" t="s">
        <v>1763</v>
      </c>
      <c r="H122" s="226">
        <v>45.134999999999998</v>
      </c>
      <c r="I122" s="52">
        <v>2024</v>
      </c>
      <c r="J122" s="228">
        <v>12190524</v>
      </c>
      <c r="K122" s="52">
        <v>2022</v>
      </c>
      <c r="L122" s="52" t="s">
        <v>1769</v>
      </c>
      <c r="M122" s="228">
        <v>37712505</v>
      </c>
      <c r="N122" s="52">
        <v>2023</v>
      </c>
      <c r="O122" s="44">
        <f t="shared" si="9"/>
        <v>0.32324885339756665</v>
      </c>
      <c r="P122" s="227">
        <v>5.64</v>
      </c>
      <c r="Q122" s="227">
        <v>10.07</v>
      </c>
      <c r="R122" s="227">
        <v>14.45</v>
      </c>
      <c r="S122" s="227">
        <v>21.24</v>
      </c>
      <c r="T122" s="227">
        <v>48.6</v>
      </c>
      <c r="U122" s="233">
        <f t="shared" si="14"/>
        <v>1507.8523280531003</v>
      </c>
      <c r="V122" s="233">
        <f t="shared" si="10"/>
        <v>2692.2115148040284</v>
      </c>
      <c r="W122" s="233">
        <f t="shared" si="11"/>
        <v>3863.2032163771805</v>
      </c>
      <c r="X122" s="233">
        <f t="shared" si="12"/>
        <v>5678.5077035191225</v>
      </c>
      <c r="Y122" s="233">
        <f t="shared" si="13"/>
        <v>12993.195592797994</v>
      </c>
      <c r="Z122" s="58">
        <f t="shared" si="15"/>
        <v>2100.0319214285646</v>
      </c>
      <c r="AA122" s="58">
        <f t="shared" si="16"/>
        <v>3863.2032163771805</v>
      </c>
      <c r="AB122" s="58">
        <f t="shared" si="17"/>
        <v>12993.195592797994</v>
      </c>
    </row>
    <row r="123" spans="1:28">
      <c r="A123" s="52" t="s">
        <v>706</v>
      </c>
      <c r="B123" s="52" t="s">
        <v>707</v>
      </c>
      <c r="C123" s="52" t="s">
        <v>115</v>
      </c>
      <c r="D123" s="52" t="s">
        <v>121</v>
      </c>
      <c r="E123" s="225">
        <v>9995350547.121664</v>
      </c>
      <c r="F123" s="52">
        <v>2023</v>
      </c>
      <c r="G123" s="57" t="s">
        <v>1763</v>
      </c>
      <c r="H123" s="226">
        <v>57.1</v>
      </c>
      <c r="I123" s="52">
        <v>2024</v>
      </c>
      <c r="J123" s="228">
        <v>15317</v>
      </c>
      <c r="K123" s="52">
        <v>2016</v>
      </c>
      <c r="L123" s="52" t="s">
        <v>1769</v>
      </c>
      <c r="M123" s="228">
        <v>38956</v>
      </c>
      <c r="N123" s="52">
        <v>2023</v>
      </c>
      <c r="O123" s="44">
        <f t="shared" si="9"/>
        <v>0.39318718554266352</v>
      </c>
      <c r="P123" s="227">
        <v>7.34</v>
      </c>
      <c r="Q123" s="227">
        <v>12.84</v>
      </c>
      <c r="R123" s="227">
        <v>17.21</v>
      </c>
      <c r="S123" s="227">
        <v>22.81</v>
      </c>
      <c r="T123" s="227">
        <v>39.81</v>
      </c>
      <c r="U123" s="233">
        <f t="shared" si="14"/>
        <v>136749.73392982793</v>
      </c>
      <c r="V123" s="233">
        <f t="shared" si="10"/>
        <v>239218.88060749191</v>
      </c>
      <c r="W123" s="233">
        <f t="shared" si="11"/>
        <v>320635.2753313813</v>
      </c>
      <c r="X123" s="233">
        <f t="shared" si="12"/>
        <v>424967.49740318465</v>
      </c>
      <c r="Y123" s="233">
        <f t="shared" si="13"/>
        <v>741690.31440687343</v>
      </c>
      <c r="Z123" s="58">
        <f t="shared" si="15"/>
        <v>187984.30726865993</v>
      </c>
      <c r="AA123" s="58">
        <f t="shared" si="16"/>
        <v>320635.2753313813</v>
      </c>
      <c r="AB123" s="58">
        <f t="shared" si="17"/>
        <v>741690.31440687343</v>
      </c>
    </row>
    <row r="124" spans="1:28">
      <c r="A124" s="52" t="s">
        <v>530</v>
      </c>
      <c r="B124" s="52" t="s">
        <v>531</v>
      </c>
      <c r="C124" s="52" t="s">
        <v>115</v>
      </c>
      <c r="D124" s="52" t="s">
        <v>322</v>
      </c>
      <c r="E124" s="225">
        <v>16539436547.294973</v>
      </c>
      <c r="F124" s="52">
        <v>2023</v>
      </c>
      <c r="G124" s="57" t="s">
        <v>1763</v>
      </c>
      <c r="H124" s="226">
        <v>45.6</v>
      </c>
      <c r="I124" s="52">
        <v>2024</v>
      </c>
      <c r="J124" s="228">
        <v>1457799</v>
      </c>
      <c r="K124" s="52">
        <v>2023</v>
      </c>
      <c r="L124" s="52" t="s">
        <v>1769</v>
      </c>
      <c r="M124" s="228">
        <v>2457783</v>
      </c>
      <c r="N124" s="52">
        <v>2023</v>
      </c>
      <c r="O124" s="44">
        <f t="shared" si="9"/>
        <v>0.59313576503702725</v>
      </c>
      <c r="P124" s="227">
        <v>8.33</v>
      </c>
      <c r="Q124" s="227">
        <v>13.02</v>
      </c>
      <c r="R124" s="227">
        <v>17.14</v>
      </c>
      <c r="S124" s="227">
        <v>22.8</v>
      </c>
      <c r="T124" s="227">
        <v>38.71</v>
      </c>
      <c r="U124" s="233">
        <f t="shared" si="14"/>
        <v>2154.7798748719479</v>
      </c>
      <c r="V124" s="233">
        <f t="shared" si="10"/>
        <v>3367.9752666065733</v>
      </c>
      <c r="W124" s="233">
        <f t="shared" si="11"/>
        <v>4433.7247365312342</v>
      </c>
      <c r="X124" s="233">
        <f t="shared" si="12"/>
        <v>5897.8368723986086</v>
      </c>
      <c r="Y124" s="233">
        <f t="shared" si="13"/>
        <v>10013.388830287287</v>
      </c>
      <c r="Z124" s="58">
        <f t="shared" si="15"/>
        <v>2761.3775707392606</v>
      </c>
      <c r="AA124" s="58">
        <f t="shared" si="16"/>
        <v>4433.7247365312342</v>
      </c>
      <c r="AB124" s="58">
        <f t="shared" si="17"/>
        <v>10013.388830287287</v>
      </c>
    </row>
    <row r="125" spans="1:28">
      <c r="A125" s="52" t="s">
        <v>510</v>
      </c>
      <c r="B125" s="52" t="s">
        <v>511</v>
      </c>
      <c r="C125" s="52" t="s">
        <v>119</v>
      </c>
      <c r="D125" s="52" t="s">
        <v>319</v>
      </c>
      <c r="E125" s="225">
        <v>15790113246.747774</v>
      </c>
      <c r="F125" s="52">
        <v>2023</v>
      </c>
      <c r="G125" s="57" t="s">
        <v>1763</v>
      </c>
      <c r="H125" s="226">
        <v>39.337000000000003</v>
      </c>
      <c r="I125" s="52">
        <v>2024</v>
      </c>
      <c r="J125" s="228">
        <v>12271072</v>
      </c>
      <c r="K125" s="52">
        <v>2022</v>
      </c>
      <c r="L125" s="52" t="s">
        <v>1769</v>
      </c>
      <c r="M125" s="228">
        <v>31195932</v>
      </c>
      <c r="N125" s="52">
        <v>2023</v>
      </c>
      <c r="O125" s="44">
        <f t="shared" si="9"/>
        <v>0.39335487716795897</v>
      </c>
      <c r="P125" s="227">
        <v>2.85</v>
      </c>
      <c r="Q125" s="227">
        <v>6.81</v>
      </c>
      <c r="R125" s="227">
        <v>10.91</v>
      </c>
      <c r="S125" s="227">
        <v>18.690000000000001</v>
      </c>
      <c r="T125" s="227">
        <v>60.75</v>
      </c>
      <c r="U125" s="233">
        <f t="shared" si="14"/>
        <v>72.130483043529296</v>
      </c>
      <c r="V125" s="233">
        <f t="shared" si="10"/>
        <v>172.35389106190681</v>
      </c>
      <c r="W125" s="233">
        <f t="shared" si="11"/>
        <v>276.12055087891395</v>
      </c>
      <c r="X125" s="233">
        <f t="shared" si="12"/>
        <v>473.02411511703951</v>
      </c>
      <c r="Y125" s="233">
        <f t="shared" si="13"/>
        <v>1537.5181911910192</v>
      </c>
      <c r="Z125" s="58">
        <f t="shared" si="15"/>
        <v>122.24218705271805</v>
      </c>
      <c r="AA125" s="58">
        <f t="shared" si="16"/>
        <v>276.12055087891395</v>
      </c>
      <c r="AB125" s="58">
        <f t="shared" si="17"/>
        <v>1537.5181911910192</v>
      </c>
    </row>
    <row r="126" spans="1:28">
      <c r="A126" s="52" t="s">
        <v>516</v>
      </c>
      <c r="B126" s="52" t="s">
        <v>517</v>
      </c>
      <c r="C126" s="52" t="s">
        <v>118</v>
      </c>
      <c r="D126" s="52" t="s">
        <v>322</v>
      </c>
      <c r="E126" s="225">
        <v>6590894301.9579</v>
      </c>
      <c r="F126" s="52">
        <v>2023</v>
      </c>
      <c r="G126" s="57" t="s">
        <v>1763</v>
      </c>
      <c r="H126" s="226">
        <v>42.468000000000004</v>
      </c>
      <c r="I126" s="52">
        <v>2024</v>
      </c>
      <c r="J126" s="228">
        <v>202021</v>
      </c>
      <c r="K126" s="52">
        <v>2019</v>
      </c>
      <c r="L126" s="52" t="s">
        <v>1769</v>
      </c>
      <c r="M126" s="228">
        <v>525994</v>
      </c>
      <c r="N126" s="52">
        <v>2023</v>
      </c>
      <c r="O126" s="44">
        <f t="shared" si="9"/>
        <v>0.38407472328581693</v>
      </c>
      <c r="P126" s="227">
        <v>5.15</v>
      </c>
      <c r="Q126" s="227">
        <v>9.52</v>
      </c>
      <c r="R126" s="227">
        <v>13.84</v>
      </c>
      <c r="S126" s="227">
        <v>20.98</v>
      </c>
      <c r="T126" s="227">
        <v>50.5</v>
      </c>
      <c r="U126" s="233">
        <f t="shared" si="14"/>
        <v>3567.6880397584227</v>
      </c>
      <c r="V126" s="233">
        <f t="shared" si="10"/>
        <v>6595.02721135926</v>
      </c>
      <c r="W126" s="233">
        <f t="shared" si="11"/>
        <v>9587.7286350012764</v>
      </c>
      <c r="X126" s="233">
        <f t="shared" si="12"/>
        <v>14533.999043520722</v>
      </c>
      <c r="Y126" s="233">
        <f t="shared" si="13"/>
        <v>34984.125438407842</v>
      </c>
      <c r="Z126" s="58">
        <f t="shared" si="15"/>
        <v>5081.3576255588414</v>
      </c>
      <c r="AA126" s="58">
        <f t="shared" si="16"/>
        <v>9587.7286350012764</v>
      </c>
      <c r="AB126" s="58">
        <f t="shared" si="17"/>
        <v>34984.125438407842</v>
      </c>
    </row>
    <row r="127" spans="1:28">
      <c r="A127" s="52" t="s">
        <v>526</v>
      </c>
      <c r="B127" s="52" t="s">
        <v>527</v>
      </c>
      <c r="C127" s="52" t="s">
        <v>116</v>
      </c>
      <c r="D127" s="52" t="s">
        <v>322</v>
      </c>
      <c r="E127" s="225">
        <v>1789114434843.4629</v>
      </c>
      <c r="F127" s="52">
        <v>2023</v>
      </c>
      <c r="G127" s="57" t="s">
        <v>1763</v>
      </c>
      <c r="H127" s="226">
        <v>34.965000000000003</v>
      </c>
      <c r="I127" s="52">
        <v>2024</v>
      </c>
      <c r="J127" s="228">
        <v>60532255</v>
      </c>
      <c r="K127" s="52">
        <v>2023</v>
      </c>
      <c r="L127" s="52" t="s">
        <v>1769</v>
      </c>
      <c r="M127" s="228">
        <v>129739759</v>
      </c>
      <c r="N127" s="52">
        <v>2023</v>
      </c>
      <c r="O127" s="44">
        <f t="shared" si="9"/>
        <v>0.46656672917050818</v>
      </c>
      <c r="P127" s="227">
        <v>5.01</v>
      </c>
      <c r="Q127" s="227">
        <v>9.48</v>
      </c>
      <c r="R127" s="227">
        <v>13.72</v>
      </c>
      <c r="S127" s="227">
        <v>20.64</v>
      </c>
      <c r="T127" s="227">
        <v>51.13</v>
      </c>
      <c r="U127" s="233">
        <f t="shared" si="14"/>
        <v>2588.7644110867127</v>
      </c>
      <c r="V127" s="233">
        <f t="shared" si="10"/>
        <v>4898.5003227748584</v>
      </c>
      <c r="W127" s="233">
        <f t="shared" si="11"/>
        <v>7089.3907624969461</v>
      </c>
      <c r="X127" s="233">
        <f t="shared" si="12"/>
        <v>10665.089310345258</v>
      </c>
      <c r="Y127" s="233">
        <f t="shared" si="13"/>
        <v>26419.865137497727</v>
      </c>
      <c r="Z127" s="58">
        <f t="shared" si="15"/>
        <v>3743.6323669307858</v>
      </c>
      <c r="AA127" s="58">
        <f t="shared" si="16"/>
        <v>7089.3907624969461</v>
      </c>
      <c r="AB127" s="58">
        <f t="shared" si="17"/>
        <v>26419.865137497727</v>
      </c>
    </row>
    <row r="128" spans="1:28">
      <c r="A128" s="52" t="s">
        <v>758</v>
      </c>
      <c r="B128" s="52" t="s">
        <v>759</v>
      </c>
      <c r="C128" s="52" t="s">
        <v>114</v>
      </c>
      <c r="D128" s="52" t="s">
        <v>322</v>
      </c>
      <c r="E128" s="225">
        <v>259300000</v>
      </c>
      <c r="F128" s="52">
        <v>2023</v>
      </c>
      <c r="G128" s="57" t="s">
        <v>1763</v>
      </c>
      <c r="H128" s="226">
        <v>43.9</v>
      </c>
      <c r="I128" s="52">
        <v>2024</v>
      </c>
      <c r="J128" s="228">
        <v>13845</v>
      </c>
      <c r="K128" s="52">
        <v>2021</v>
      </c>
      <c r="L128" s="52" t="s">
        <v>1769</v>
      </c>
      <c r="M128" s="228">
        <v>38827</v>
      </c>
      <c r="N128" s="52">
        <v>2023</v>
      </c>
      <c r="O128" s="44">
        <f t="shared" si="9"/>
        <v>0.35658176011538362</v>
      </c>
      <c r="P128" s="227">
        <v>6.18</v>
      </c>
      <c r="Q128" s="227">
        <v>11.04</v>
      </c>
      <c r="R128" s="227">
        <v>15.87</v>
      </c>
      <c r="S128" s="227">
        <v>22.75</v>
      </c>
      <c r="T128" s="227">
        <v>44.15</v>
      </c>
      <c r="U128" s="233">
        <f t="shared" si="14"/>
        <v>2540.5781365113758</v>
      </c>
      <c r="V128" s="233">
        <f t="shared" si="10"/>
        <v>4538.5085157096428</v>
      </c>
      <c r="W128" s="233">
        <f t="shared" si="11"/>
        <v>6524.1059913326108</v>
      </c>
      <c r="X128" s="233">
        <f t="shared" si="12"/>
        <v>9352.4518779342725</v>
      </c>
      <c r="Y128" s="233">
        <f t="shared" si="13"/>
        <v>18149.923094980135</v>
      </c>
      <c r="Z128" s="58">
        <f t="shared" si="15"/>
        <v>3539.543326110509</v>
      </c>
      <c r="AA128" s="58">
        <f t="shared" si="16"/>
        <v>6524.1059913326108</v>
      </c>
      <c r="AB128" s="58">
        <f t="shared" si="17"/>
        <v>18149.923094980135</v>
      </c>
    </row>
    <row r="129" spans="1:28">
      <c r="A129" s="52" t="s">
        <v>760</v>
      </c>
      <c r="B129" s="52" t="s">
        <v>509</v>
      </c>
      <c r="C129" s="52" t="s">
        <v>115</v>
      </c>
      <c r="D129" s="52" t="s">
        <v>322</v>
      </c>
      <c r="E129" s="225">
        <v>15763621848.115004</v>
      </c>
      <c r="F129" s="52">
        <v>2023</v>
      </c>
      <c r="G129" s="57" t="s">
        <v>1763</v>
      </c>
      <c r="H129" s="226">
        <v>43.881999999999998</v>
      </c>
      <c r="I129" s="52">
        <v>2024</v>
      </c>
      <c r="J129" s="228">
        <v>791036</v>
      </c>
      <c r="K129" s="52">
        <v>2024</v>
      </c>
      <c r="L129" s="52" t="s">
        <v>1769</v>
      </c>
      <c r="M129" s="228">
        <v>1827816</v>
      </c>
      <c r="N129" s="52">
        <v>2023</v>
      </c>
      <c r="O129" s="44">
        <f t="shared" si="9"/>
        <v>0.43277660333425244</v>
      </c>
      <c r="P129" s="227">
        <v>6.19</v>
      </c>
      <c r="Q129" s="227">
        <v>12.49</v>
      </c>
      <c r="R129" s="227">
        <v>17.920000000000002</v>
      </c>
      <c r="S129" s="227">
        <v>24.28</v>
      </c>
      <c r="T129" s="227">
        <v>39.11</v>
      </c>
      <c r="U129" s="233">
        <f t="shared" si="14"/>
        <v>2706.4924869931974</v>
      </c>
      <c r="V129" s="233">
        <f t="shared" si="10"/>
        <v>5461.0809632544479</v>
      </c>
      <c r="W129" s="233">
        <f t="shared" si="11"/>
        <v>7835.2738880320039</v>
      </c>
      <c r="X129" s="233">
        <f t="shared" si="12"/>
        <v>10616.096540257648</v>
      </c>
      <c r="Y129" s="233">
        <f t="shared" si="13"/>
        <v>17100.310366123416</v>
      </c>
      <c r="Z129" s="58">
        <f t="shared" si="15"/>
        <v>4083.7867251238226</v>
      </c>
      <c r="AA129" s="58">
        <f t="shared" si="16"/>
        <v>7835.2738880320039</v>
      </c>
      <c r="AB129" s="58">
        <f t="shared" si="17"/>
        <v>17100.310366123416</v>
      </c>
    </row>
    <row r="130" spans="1:28">
      <c r="A130" s="52" t="s">
        <v>518</v>
      </c>
      <c r="B130" s="52" t="s">
        <v>519</v>
      </c>
      <c r="C130" s="52" t="s">
        <v>119</v>
      </c>
      <c r="D130" s="52" t="s">
        <v>319</v>
      </c>
      <c r="E130" s="225">
        <v>20661794596.087261</v>
      </c>
      <c r="F130" s="52">
        <v>2023</v>
      </c>
      <c r="G130" s="57" t="s">
        <v>1763</v>
      </c>
      <c r="H130" s="226">
        <v>40.130000000000003</v>
      </c>
      <c r="I130" s="52">
        <v>2024</v>
      </c>
      <c r="J130" s="228">
        <v>6705849</v>
      </c>
      <c r="K130" s="52">
        <v>2022</v>
      </c>
      <c r="L130" s="52" t="s">
        <v>1769</v>
      </c>
      <c r="M130" s="228">
        <v>23769127</v>
      </c>
      <c r="N130" s="52">
        <v>2023</v>
      </c>
      <c r="O130" s="44">
        <f t="shared" ref="O130:O193" si="18">J130/M130</f>
        <v>0.28212432875637378</v>
      </c>
      <c r="P130" s="227">
        <v>5.72</v>
      </c>
      <c r="Q130" s="227">
        <v>10.73</v>
      </c>
      <c r="R130" s="227">
        <v>15.45</v>
      </c>
      <c r="S130" s="227">
        <v>21.6</v>
      </c>
      <c r="T130" s="227">
        <v>46.49</v>
      </c>
      <c r="U130" s="233">
        <f t="shared" si="14"/>
        <v>353.63029454185562</v>
      </c>
      <c r="V130" s="233">
        <f t="shared" ref="V130:V193" si="19">(Q130/100)*$E130*($H130/100)/($J130*0.2)</f>
        <v>663.36591965631317</v>
      </c>
      <c r="W130" s="233">
        <f t="shared" ref="W130:W193" si="20">(R130/100)*$E130*($H130/100)/($J130*0.2)</f>
        <v>955.17273613141072</v>
      </c>
      <c r="X130" s="233">
        <f t="shared" ref="X130:X193" si="21">(S130/100)*$E130*($H130/100)/($J130*0.2)</f>
        <v>1335.3871262419723</v>
      </c>
      <c r="Y130" s="233">
        <f t="shared" ref="Y130:Y193" si="22">(T130/100)*$E130*($H130/100)/($J130*0.2)</f>
        <v>2874.1734953235787</v>
      </c>
      <c r="Z130" s="58">
        <f t="shared" si="15"/>
        <v>508.49810709908439</v>
      </c>
      <c r="AA130" s="58">
        <f t="shared" si="16"/>
        <v>955.17273613141072</v>
      </c>
      <c r="AB130" s="58">
        <f t="shared" si="17"/>
        <v>2874.1734953235787</v>
      </c>
    </row>
    <row r="131" spans="1:28">
      <c r="A131" s="52" t="s">
        <v>520</v>
      </c>
      <c r="B131" s="52" t="s">
        <v>521</v>
      </c>
      <c r="C131" s="52" t="s">
        <v>117</v>
      </c>
      <c r="D131" s="52" t="s">
        <v>121</v>
      </c>
      <c r="E131" s="225">
        <v>22328640241.555298</v>
      </c>
      <c r="F131" s="52">
        <v>2023</v>
      </c>
      <c r="G131" s="57" t="s">
        <v>1763</v>
      </c>
      <c r="H131" s="226">
        <v>51.302999999999997</v>
      </c>
      <c r="I131" s="52">
        <v>2024</v>
      </c>
      <c r="J131" s="228">
        <v>313202</v>
      </c>
      <c r="K131" s="52">
        <v>2023</v>
      </c>
      <c r="L131" s="52" t="s">
        <v>1769</v>
      </c>
      <c r="M131" s="228">
        <v>552747</v>
      </c>
      <c r="N131" s="52">
        <v>2023</v>
      </c>
      <c r="O131" s="44">
        <f t="shared" si="18"/>
        <v>0.56662813185779393</v>
      </c>
      <c r="P131" s="227">
        <v>8.1199999999999992</v>
      </c>
      <c r="Q131" s="227">
        <v>13.04</v>
      </c>
      <c r="R131" s="227">
        <v>16.95</v>
      </c>
      <c r="S131" s="227">
        <v>22.42</v>
      </c>
      <c r="T131" s="227">
        <v>39.46</v>
      </c>
      <c r="U131" s="233">
        <f t="shared" ref="U131:U194" si="23">(P131/100)*$E131*($H131/100)/($J131*0.2)</f>
        <v>14849.31927340437</v>
      </c>
      <c r="V131" s="233">
        <f t="shared" si="19"/>
        <v>23846.690064678944</v>
      </c>
      <c r="W131" s="233">
        <f t="shared" si="20"/>
        <v>30997.03961628129</v>
      </c>
      <c r="X131" s="233">
        <f t="shared" si="21"/>
        <v>41000.214052921932</v>
      </c>
      <c r="Y131" s="233">
        <f t="shared" si="22"/>
        <v>72161.839720263131</v>
      </c>
      <c r="Z131" s="58">
        <f t="shared" ref="Z131:Z194" si="24">AVERAGE(U131:V131)</f>
        <v>19348.004669041657</v>
      </c>
      <c r="AA131" s="58">
        <f t="shared" ref="AA131:AA194" si="25">W131</f>
        <v>30997.03961628129</v>
      </c>
      <c r="AB131" s="58">
        <f t="shared" ref="AB131:AB194" si="26">Y131</f>
        <v>72161.839720263131</v>
      </c>
    </row>
    <row r="132" spans="1:28">
      <c r="A132" s="52" t="s">
        <v>540</v>
      </c>
      <c r="B132" s="52" t="s">
        <v>541</v>
      </c>
      <c r="C132" s="52" t="s">
        <v>114</v>
      </c>
      <c r="D132" s="52" t="s">
        <v>325</v>
      </c>
      <c r="E132" s="225">
        <v>66757619000</v>
      </c>
      <c r="F132" s="52">
        <v>2023</v>
      </c>
      <c r="G132" s="57" t="s">
        <v>1763</v>
      </c>
      <c r="H132" s="226">
        <v>43.923000000000002</v>
      </c>
      <c r="I132" s="52">
        <v>2024</v>
      </c>
      <c r="J132" s="228">
        <v>22608497</v>
      </c>
      <c r="K132" s="52">
        <v>2020</v>
      </c>
      <c r="L132" s="52" t="s">
        <v>1769</v>
      </c>
      <c r="M132" s="228">
        <v>54133798</v>
      </c>
      <c r="N132" s="52">
        <v>2023</v>
      </c>
      <c r="O132" s="44">
        <f t="shared" si="18"/>
        <v>0.4176410640908661</v>
      </c>
      <c r="P132" s="227">
        <v>7.96</v>
      </c>
      <c r="Q132" s="227">
        <v>11.92</v>
      </c>
      <c r="R132" s="227">
        <v>15.86</v>
      </c>
      <c r="S132" s="227">
        <v>21.14</v>
      </c>
      <c r="T132" s="227">
        <v>43.12</v>
      </c>
      <c r="U132" s="233">
        <f t="shared" si="23"/>
        <v>516.18361447739142</v>
      </c>
      <c r="V132" s="233">
        <f t="shared" si="19"/>
        <v>772.97847796111876</v>
      </c>
      <c r="W132" s="233">
        <f t="shared" si="20"/>
        <v>1028.4763976898778</v>
      </c>
      <c r="X132" s="233">
        <f t="shared" si="21"/>
        <v>1370.8695490015143</v>
      </c>
      <c r="Y132" s="233">
        <f t="shared" si="22"/>
        <v>2796.2107357116979</v>
      </c>
      <c r="Z132" s="58">
        <f t="shared" si="24"/>
        <v>644.58104621925509</v>
      </c>
      <c r="AA132" s="58">
        <f t="shared" si="25"/>
        <v>1028.4763976898778</v>
      </c>
      <c r="AB132" s="58">
        <f t="shared" si="26"/>
        <v>2796.2107357116979</v>
      </c>
    </row>
    <row r="133" spans="1:28">
      <c r="A133" s="52" t="s">
        <v>534</v>
      </c>
      <c r="B133" s="52" t="s">
        <v>535</v>
      </c>
      <c r="C133" s="52" t="s">
        <v>115</v>
      </c>
      <c r="D133" s="52" t="s">
        <v>322</v>
      </c>
      <c r="E133" s="225">
        <v>7530593375.2203388</v>
      </c>
      <c r="F133" s="52">
        <v>2023</v>
      </c>
      <c r="G133" s="57" t="s">
        <v>1763</v>
      </c>
      <c r="H133" s="226">
        <v>46.540999999999997</v>
      </c>
      <c r="I133" s="52">
        <v>2024</v>
      </c>
      <c r="J133" s="228">
        <v>320406</v>
      </c>
      <c r="K133" s="52">
        <v>2023</v>
      </c>
      <c r="L133" s="52" t="s">
        <v>1769</v>
      </c>
      <c r="M133" s="228">
        <v>616177</v>
      </c>
      <c r="N133" s="52">
        <v>2023</v>
      </c>
      <c r="O133" s="44">
        <f t="shared" si="18"/>
        <v>0.51999019762178722</v>
      </c>
      <c r="P133" s="227">
        <v>6.26</v>
      </c>
      <c r="Q133" s="227">
        <v>12.13</v>
      </c>
      <c r="R133" s="227">
        <v>17.190000000000001</v>
      </c>
      <c r="S133" s="227">
        <v>23.62</v>
      </c>
      <c r="T133" s="227">
        <v>40.81</v>
      </c>
      <c r="U133" s="233">
        <f t="shared" si="23"/>
        <v>3423.8017198313582</v>
      </c>
      <c r="V133" s="233">
        <f t="shared" si="19"/>
        <v>6634.2994986508593</v>
      </c>
      <c r="W133" s="233">
        <f t="shared" si="20"/>
        <v>9401.7813999841946</v>
      </c>
      <c r="X133" s="233">
        <f t="shared" si="21"/>
        <v>12918.561760769438</v>
      </c>
      <c r="Y133" s="233">
        <f t="shared" si="22"/>
        <v>22320.343160753633</v>
      </c>
      <c r="Z133" s="58">
        <f t="shared" si="24"/>
        <v>5029.0506092411088</v>
      </c>
      <c r="AA133" s="58">
        <f t="shared" si="25"/>
        <v>9401.7813999841946</v>
      </c>
      <c r="AB133" s="58">
        <f t="shared" si="26"/>
        <v>22320.343160753633</v>
      </c>
    </row>
    <row r="134" spans="1:28">
      <c r="A134" s="52" t="s">
        <v>532</v>
      </c>
      <c r="B134" s="52" t="s">
        <v>533</v>
      </c>
      <c r="C134" s="52" t="s">
        <v>114</v>
      </c>
      <c r="D134" s="52" t="s">
        <v>325</v>
      </c>
      <c r="E134" s="225">
        <v>20325121393.907364</v>
      </c>
      <c r="F134" s="52">
        <v>2023</v>
      </c>
      <c r="G134" s="57" t="s">
        <v>1763</v>
      </c>
      <c r="H134" s="226">
        <v>34.039000000000001</v>
      </c>
      <c r="I134" s="52">
        <v>2024</v>
      </c>
      <c r="J134" s="228">
        <v>1389151</v>
      </c>
      <c r="K134" s="52">
        <v>2023</v>
      </c>
      <c r="L134" s="52" t="s">
        <v>1769</v>
      </c>
      <c r="M134" s="228">
        <v>3481145</v>
      </c>
      <c r="N134" s="52">
        <v>2023</v>
      </c>
      <c r="O134" s="44">
        <f t="shared" si="18"/>
        <v>0.39905002520722349</v>
      </c>
      <c r="P134" s="227">
        <v>7.27</v>
      </c>
      <c r="Q134" s="227">
        <v>11.43</v>
      </c>
      <c r="R134" s="227">
        <v>15.78</v>
      </c>
      <c r="S134" s="227">
        <v>21.75</v>
      </c>
      <c r="T134" s="227">
        <v>43.77</v>
      </c>
      <c r="U134" s="233">
        <f t="shared" si="23"/>
        <v>1810.3598125095248</v>
      </c>
      <c r="V134" s="233">
        <f t="shared" si="19"/>
        <v>2846.2740931202015</v>
      </c>
      <c r="W134" s="233">
        <f t="shared" si="20"/>
        <v>3929.5017663549243</v>
      </c>
      <c r="X134" s="233">
        <f t="shared" si="21"/>
        <v>5416.1383661736118</v>
      </c>
      <c r="Y134" s="233">
        <f t="shared" si="22"/>
        <v>10899.511553444554</v>
      </c>
      <c r="Z134" s="58">
        <f t="shared" si="24"/>
        <v>2328.3169528148633</v>
      </c>
      <c r="AA134" s="58">
        <f t="shared" si="25"/>
        <v>3929.5017663549243</v>
      </c>
      <c r="AB134" s="58">
        <f t="shared" si="26"/>
        <v>10899.511553444554</v>
      </c>
    </row>
    <row r="135" spans="1:28">
      <c r="A135" s="52" t="s">
        <v>761</v>
      </c>
      <c r="B135" s="52" t="s">
        <v>762</v>
      </c>
      <c r="C135" s="52" t="s">
        <v>114</v>
      </c>
      <c r="D135" s="52" t="s">
        <v>121</v>
      </c>
      <c r="E135" s="225">
        <v>1096000000</v>
      </c>
      <c r="F135" s="52">
        <v>2022</v>
      </c>
      <c r="G135" s="57" t="s">
        <v>1763</v>
      </c>
      <c r="H135" s="226">
        <v>52.2</v>
      </c>
      <c r="I135" s="52">
        <v>2024</v>
      </c>
      <c r="J135" s="228">
        <v>38450</v>
      </c>
      <c r="K135" s="52">
        <v>2005</v>
      </c>
      <c r="L135" s="57" t="s">
        <v>1770</v>
      </c>
      <c r="M135" s="228">
        <v>45143</v>
      </c>
      <c r="N135" s="52">
        <v>2023</v>
      </c>
      <c r="O135" s="44">
        <f t="shared" si="18"/>
        <v>0.85173781095629442</v>
      </c>
      <c r="P135" s="227">
        <v>7.2819999999999991</v>
      </c>
      <c r="Q135" s="227">
        <v>12.249999999999998</v>
      </c>
      <c r="R135" s="227">
        <v>16.434000000000001</v>
      </c>
      <c r="S135" s="227">
        <v>22.161000000000001</v>
      </c>
      <c r="T135" s="227">
        <v>41.876999999999995</v>
      </c>
      <c r="U135" s="233">
        <f t="shared" si="23"/>
        <v>5417.5807334200263</v>
      </c>
      <c r="V135" s="233">
        <f t="shared" si="19"/>
        <v>9113.6176853055895</v>
      </c>
      <c r="W135" s="233">
        <f t="shared" si="20"/>
        <v>12226.383105331601</v>
      </c>
      <c r="X135" s="233">
        <f t="shared" si="21"/>
        <v>16487.092369310794</v>
      </c>
      <c r="Y135" s="233">
        <f t="shared" si="22"/>
        <v>31155.181045513655</v>
      </c>
      <c r="Z135" s="58">
        <f t="shared" si="24"/>
        <v>7265.5992093628083</v>
      </c>
      <c r="AA135" s="58">
        <f t="shared" si="25"/>
        <v>12226.383105331601</v>
      </c>
      <c r="AB135" s="58">
        <f t="shared" si="26"/>
        <v>31155.181045513655</v>
      </c>
    </row>
    <row r="136" spans="1:28">
      <c r="A136" s="52" t="s">
        <v>538</v>
      </c>
      <c r="B136" s="52" t="s">
        <v>539</v>
      </c>
      <c r="C136" s="52" t="s">
        <v>119</v>
      </c>
      <c r="D136" s="52" t="s">
        <v>319</v>
      </c>
      <c r="E136" s="225">
        <v>20954220983.547325</v>
      </c>
      <c r="F136" s="52">
        <v>2023</v>
      </c>
      <c r="G136" s="57" t="s">
        <v>1763</v>
      </c>
      <c r="H136" s="226">
        <v>50.009</v>
      </c>
      <c r="I136" s="52">
        <v>2024</v>
      </c>
      <c r="J136" s="228">
        <v>13082509</v>
      </c>
      <c r="K136" s="52">
        <v>2022</v>
      </c>
      <c r="L136" s="52" t="s">
        <v>1769</v>
      </c>
      <c r="M136" s="228">
        <v>33635160</v>
      </c>
      <c r="N136" s="52">
        <v>2023</v>
      </c>
      <c r="O136" s="44">
        <f t="shared" si="18"/>
        <v>0.38895337498022903</v>
      </c>
      <c r="P136" s="227">
        <v>2.4700000000000002</v>
      </c>
      <c r="Q136" s="227">
        <v>6.35</v>
      </c>
      <c r="R136" s="227">
        <v>10.29</v>
      </c>
      <c r="S136" s="227">
        <v>17.52</v>
      </c>
      <c r="T136" s="227">
        <v>63.37</v>
      </c>
      <c r="U136" s="233">
        <f t="shared" si="23"/>
        <v>98.922618887575737</v>
      </c>
      <c r="V136" s="233">
        <f t="shared" si="19"/>
        <v>254.3152347919457</v>
      </c>
      <c r="W136" s="233">
        <f t="shared" si="20"/>
        <v>412.11082929277501</v>
      </c>
      <c r="X136" s="233">
        <f t="shared" si="21"/>
        <v>701.66975016612412</v>
      </c>
      <c r="Y136" s="233">
        <f t="shared" si="22"/>
        <v>2537.9458942937949</v>
      </c>
      <c r="Z136" s="58">
        <f t="shared" si="24"/>
        <v>176.61892683976072</v>
      </c>
      <c r="AA136" s="58">
        <f t="shared" si="25"/>
        <v>412.11082929277501</v>
      </c>
      <c r="AB136" s="58">
        <f t="shared" si="26"/>
        <v>2537.9458942937949</v>
      </c>
    </row>
    <row r="137" spans="1:28">
      <c r="A137" s="52" t="s">
        <v>522</v>
      </c>
      <c r="B137" s="52" t="s">
        <v>523</v>
      </c>
      <c r="C137" s="52" t="s">
        <v>119</v>
      </c>
      <c r="D137" s="52" t="s">
        <v>325</v>
      </c>
      <c r="E137" s="225">
        <v>10651709411.459427</v>
      </c>
      <c r="F137" s="52">
        <v>2023</v>
      </c>
      <c r="G137" s="57" t="s">
        <v>1763</v>
      </c>
      <c r="H137" s="226">
        <v>38.253</v>
      </c>
      <c r="I137" s="52">
        <v>2024</v>
      </c>
      <c r="J137" s="228">
        <v>1058620</v>
      </c>
      <c r="K137" s="52">
        <v>2019</v>
      </c>
      <c r="L137" s="52" t="s">
        <v>1769</v>
      </c>
      <c r="M137" s="228">
        <v>5022441</v>
      </c>
      <c r="N137" s="52">
        <v>2023</v>
      </c>
      <c r="O137" s="44">
        <f t="shared" si="18"/>
        <v>0.210777986242148</v>
      </c>
      <c r="P137" s="227">
        <v>4.1399999999999997</v>
      </c>
      <c r="Q137" s="227">
        <v>8.42</v>
      </c>
      <c r="R137" s="227">
        <v>13.07</v>
      </c>
      <c r="S137" s="227">
        <v>20</v>
      </c>
      <c r="T137" s="227">
        <v>54.36</v>
      </c>
      <c r="U137" s="233">
        <f t="shared" si="23"/>
        <v>796.73713801106521</v>
      </c>
      <c r="V137" s="233">
        <f t="shared" si="19"/>
        <v>1620.4170777906206</v>
      </c>
      <c r="W137" s="233">
        <f t="shared" si="20"/>
        <v>2515.3029936726143</v>
      </c>
      <c r="X137" s="233">
        <f t="shared" si="21"/>
        <v>3848.9716812128754</v>
      </c>
      <c r="Y137" s="233">
        <f t="shared" si="22"/>
        <v>10461.505029536596</v>
      </c>
      <c r="Z137" s="58">
        <f t="shared" si="24"/>
        <v>1208.577107900843</v>
      </c>
      <c r="AA137" s="58">
        <f t="shared" si="25"/>
        <v>2515.3029936726143</v>
      </c>
      <c r="AB137" s="58">
        <f t="shared" si="26"/>
        <v>10461.505029536596</v>
      </c>
    </row>
    <row r="138" spans="1:28">
      <c r="A138" s="52" t="s">
        <v>524</v>
      </c>
      <c r="B138" s="52" t="s">
        <v>525</v>
      </c>
      <c r="C138" s="52" t="s">
        <v>119</v>
      </c>
      <c r="D138" s="52" t="s">
        <v>322</v>
      </c>
      <c r="E138" s="225">
        <v>14644524819.005362</v>
      </c>
      <c r="F138" s="52">
        <v>2023</v>
      </c>
      <c r="G138" s="57" t="s">
        <v>1763</v>
      </c>
      <c r="H138" s="226">
        <v>42.518000000000001</v>
      </c>
      <c r="I138" s="52">
        <v>2024</v>
      </c>
      <c r="J138" s="228">
        <v>588060</v>
      </c>
      <c r="K138" s="52">
        <v>2023</v>
      </c>
      <c r="L138" s="52" t="s">
        <v>1769</v>
      </c>
      <c r="M138" s="228">
        <v>1261041</v>
      </c>
      <c r="N138" s="52">
        <v>2023</v>
      </c>
      <c r="O138" s="44">
        <f t="shared" si="18"/>
        <v>0.46632900912817266</v>
      </c>
      <c r="P138" s="227">
        <v>5.84</v>
      </c>
      <c r="Q138" s="227">
        <v>8.52</v>
      </c>
      <c r="R138" s="227">
        <v>11.83</v>
      </c>
      <c r="S138" s="227">
        <v>18.010000000000002</v>
      </c>
      <c r="T138" s="227">
        <v>55.79</v>
      </c>
      <c r="U138" s="233">
        <f t="shared" si="23"/>
        <v>3091.7852706578451</v>
      </c>
      <c r="V138" s="233">
        <f t="shared" si="19"/>
        <v>4510.6182373295951</v>
      </c>
      <c r="W138" s="233">
        <f t="shared" si="20"/>
        <v>6262.9828342264227</v>
      </c>
      <c r="X138" s="233">
        <f t="shared" si="21"/>
        <v>9534.7693021485939</v>
      </c>
      <c r="Y138" s="233">
        <f t="shared" si="22"/>
        <v>29536.078809931703</v>
      </c>
      <c r="Z138" s="58">
        <f t="shared" si="24"/>
        <v>3801.2017539937201</v>
      </c>
      <c r="AA138" s="58">
        <f t="shared" si="25"/>
        <v>6262.9828342264227</v>
      </c>
      <c r="AB138" s="58">
        <f t="shared" si="26"/>
        <v>29536.078809931703</v>
      </c>
    </row>
    <row r="139" spans="1:28">
      <c r="A139" s="52" t="s">
        <v>512</v>
      </c>
      <c r="B139" s="52" t="s">
        <v>513</v>
      </c>
      <c r="C139" s="52" t="s">
        <v>119</v>
      </c>
      <c r="D139" s="52" t="s">
        <v>319</v>
      </c>
      <c r="E139" s="225">
        <v>12712150082.079203</v>
      </c>
      <c r="F139" s="52">
        <v>2023</v>
      </c>
      <c r="G139" s="57" t="s">
        <v>1763</v>
      </c>
      <c r="H139" s="226">
        <v>36.195</v>
      </c>
      <c r="I139" s="52">
        <v>2024</v>
      </c>
      <c r="J139" s="228">
        <v>6887054</v>
      </c>
      <c r="K139" s="52">
        <v>2020</v>
      </c>
      <c r="L139" s="52" t="s">
        <v>1769</v>
      </c>
      <c r="M139" s="228">
        <v>21104482</v>
      </c>
      <c r="N139" s="52">
        <v>2023</v>
      </c>
      <c r="O139" s="44">
        <f t="shared" si="18"/>
        <v>0.32633134516165807</v>
      </c>
      <c r="P139" s="227">
        <v>3.77</v>
      </c>
      <c r="Q139" s="227">
        <v>7.43</v>
      </c>
      <c r="R139" s="227">
        <v>11.44</v>
      </c>
      <c r="S139" s="227">
        <v>18.93</v>
      </c>
      <c r="T139" s="227">
        <v>58.42</v>
      </c>
      <c r="U139" s="233">
        <f t="shared" si="23"/>
        <v>125.93471361431388</v>
      </c>
      <c r="V139" s="233">
        <f t="shared" si="19"/>
        <v>248.19493956348859</v>
      </c>
      <c r="W139" s="233">
        <f t="shared" si="20"/>
        <v>382.14671717446976</v>
      </c>
      <c r="X139" s="233">
        <f t="shared" si="21"/>
        <v>632.34592273712519</v>
      </c>
      <c r="Y139" s="233">
        <f t="shared" si="22"/>
        <v>1951.4869945220737</v>
      </c>
      <c r="Z139" s="58">
        <f t="shared" si="24"/>
        <v>187.06482658890124</v>
      </c>
      <c r="AA139" s="58">
        <f t="shared" si="25"/>
        <v>382.14671717446976</v>
      </c>
      <c r="AB139" s="58">
        <f t="shared" si="26"/>
        <v>1951.4869945220737</v>
      </c>
    </row>
    <row r="140" spans="1:28">
      <c r="A140" s="52" t="s">
        <v>514</v>
      </c>
      <c r="B140" s="52" t="s">
        <v>515</v>
      </c>
      <c r="C140" s="52" t="s">
        <v>114</v>
      </c>
      <c r="D140" s="52" t="s">
        <v>322</v>
      </c>
      <c r="E140" s="225">
        <v>399705169318.47705</v>
      </c>
      <c r="F140" s="52">
        <v>2023</v>
      </c>
      <c r="G140" s="57" t="s">
        <v>1763</v>
      </c>
      <c r="H140" s="226">
        <v>43.4</v>
      </c>
      <c r="I140" s="52">
        <v>2024</v>
      </c>
      <c r="J140" s="228">
        <v>16022100</v>
      </c>
      <c r="K140" s="52">
        <v>2022</v>
      </c>
      <c r="L140" s="52" t="s">
        <v>1769</v>
      </c>
      <c r="M140" s="228">
        <v>35126298</v>
      </c>
      <c r="N140" s="52">
        <v>2023</v>
      </c>
      <c r="O140" s="44">
        <f t="shared" si="18"/>
        <v>0.45612834008297715</v>
      </c>
      <c r="P140" s="227">
        <v>5.82</v>
      </c>
      <c r="Q140" s="227">
        <v>10.1</v>
      </c>
      <c r="R140" s="227">
        <v>14.81</v>
      </c>
      <c r="S140" s="227">
        <v>22</v>
      </c>
      <c r="T140" s="227">
        <v>47.27</v>
      </c>
      <c r="U140" s="233">
        <f t="shared" si="23"/>
        <v>3150.670926651796</v>
      </c>
      <c r="V140" s="233">
        <f t="shared" si="19"/>
        <v>5467.6591682445251</v>
      </c>
      <c r="W140" s="233">
        <f t="shared" si="20"/>
        <v>8017.4289387823192</v>
      </c>
      <c r="X140" s="233">
        <f t="shared" si="21"/>
        <v>11909.752643700947</v>
      </c>
      <c r="Y140" s="233">
        <f t="shared" si="22"/>
        <v>25589.727612170173</v>
      </c>
      <c r="Z140" s="58">
        <f t="shared" si="24"/>
        <v>4309.1650474481603</v>
      </c>
      <c r="AA140" s="58">
        <f t="shared" si="25"/>
        <v>8017.4289387823192</v>
      </c>
      <c r="AB140" s="58">
        <f t="shared" si="26"/>
        <v>25589.727612170173</v>
      </c>
    </row>
    <row r="141" spans="1:28">
      <c r="A141" s="52" t="s">
        <v>542</v>
      </c>
      <c r="B141" s="52" t="s">
        <v>543</v>
      </c>
      <c r="C141" s="52" t="s">
        <v>119</v>
      </c>
      <c r="D141" s="52" t="s">
        <v>322</v>
      </c>
      <c r="E141" s="225">
        <v>12351025066.91312</v>
      </c>
      <c r="F141" s="52">
        <v>2023</v>
      </c>
      <c r="G141" s="57" t="s">
        <v>1763</v>
      </c>
      <c r="H141" s="226">
        <v>49.832999999999998</v>
      </c>
      <c r="I141" s="52">
        <v>2024</v>
      </c>
      <c r="J141" s="228">
        <v>902004</v>
      </c>
      <c r="K141" s="52">
        <v>2018</v>
      </c>
      <c r="L141" s="52" t="s">
        <v>1769</v>
      </c>
      <c r="M141" s="228">
        <v>2963095</v>
      </c>
      <c r="N141" s="52">
        <v>2023</v>
      </c>
      <c r="O141" s="44">
        <f t="shared" si="18"/>
        <v>0.30441278460528604</v>
      </c>
      <c r="P141" s="227">
        <v>2.08</v>
      </c>
      <c r="Q141" s="227">
        <v>4.83</v>
      </c>
      <c r="R141" s="227">
        <v>9.06</v>
      </c>
      <c r="S141" s="227">
        <v>17.829999999999998</v>
      </c>
      <c r="T141" s="227">
        <v>66.19</v>
      </c>
      <c r="U141" s="233">
        <f t="shared" si="23"/>
        <v>709.65115170870718</v>
      </c>
      <c r="V141" s="233">
        <f t="shared" si="19"/>
        <v>1647.8918570928156</v>
      </c>
      <c r="W141" s="233">
        <f t="shared" si="20"/>
        <v>3091.0766511927341</v>
      </c>
      <c r="X141" s="233">
        <f t="shared" si="21"/>
        <v>6083.2115552722353</v>
      </c>
      <c r="Y141" s="233">
        <f t="shared" si="22"/>
        <v>22582.600832499673</v>
      </c>
      <c r="Z141" s="58">
        <f t="shared" si="24"/>
        <v>1178.7715044007614</v>
      </c>
      <c r="AA141" s="58">
        <f t="shared" si="25"/>
        <v>3091.0766511927341</v>
      </c>
      <c r="AB141" s="58">
        <f t="shared" si="26"/>
        <v>22582.600832499673</v>
      </c>
    </row>
    <row r="142" spans="1:28">
      <c r="A142" s="52" t="s">
        <v>708</v>
      </c>
      <c r="B142" s="52" t="s">
        <v>709</v>
      </c>
      <c r="C142" s="52" t="s">
        <v>114</v>
      </c>
      <c r="D142" s="52" t="s">
        <v>121</v>
      </c>
      <c r="E142" s="225">
        <v>9623318718.3145943</v>
      </c>
      <c r="F142" s="52">
        <v>2022</v>
      </c>
      <c r="G142" s="57" t="s">
        <v>1763</v>
      </c>
      <c r="H142" s="226">
        <v>51.308999999999997</v>
      </c>
      <c r="I142" s="52">
        <v>2024</v>
      </c>
      <c r="J142" s="228">
        <v>122446</v>
      </c>
      <c r="K142" s="52">
        <v>2022</v>
      </c>
      <c r="L142" s="52" t="s">
        <v>1769</v>
      </c>
      <c r="M142" s="228">
        <v>289870</v>
      </c>
      <c r="N142" s="52">
        <v>2023</v>
      </c>
      <c r="O142" s="44">
        <f t="shared" si="18"/>
        <v>0.42241694552730535</v>
      </c>
      <c r="P142" s="227">
        <v>7.2819999999999991</v>
      </c>
      <c r="Q142" s="227">
        <v>12.249999999999998</v>
      </c>
      <c r="R142" s="227">
        <v>16.434000000000001</v>
      </c>
      <c r="S142" s="227">
        <v>22.161000000000001</v>
      </c>
      <c r="T142" s="227">
        <v>41.876999999999995</v>
      </c>
      <c r="U142" s="233">
        <f t="shared" si="23"/>
        <v>14682.313621430265</v>
      </c>
      <c r="V142" s="233">
        <f t="shared" si="19"/>
        <v>24699.030741900679</v>
      </c>
      <c r="W142" s="233">
        <f t="shared" si="20"/>
        <v>33135.009894889459</v>
      </c>
      <c r="X142" s="233">
        <f t="shared" si="21"/>
        <v>44682.058797653968</v>
      </c>
      <c r="Y142" s="233">
        <f t="shared" si="22"/>
        <v>84434.3926839653</v>
      </c>
      <c r="Z142" s="58">
        <f t="shared" si="24"/>
        <v>19690.672181665472</v>
      </c>
      <c r="AA142" s="58">
        <f t="shared" si="25"/>
        <v>33135.009894889459</v>
      </c>
      <c r="AB142" s="58">
        <f t="shared" si="26"/>
        <v>84434.3926839653</v>
      </c>
    </row>
    <row r="143" spans="1:28">
      <c r="A143" s="52" t="s">
        <v>552</v>
      </c>
      <c r="B143" s="52" t="s">
        <v>553</v>
      </c>
      <c r="C143" s="52" t="s">
        <v>119</v>
      </c>
      <c r="D143" s="52" t="s">
        <v>319</v>
      </c>
      <c r="E143" s="225">
        <v>16819170420.565317</v>
      </c>
      <c r="F143" s="52">
        <v>2023</v>
      </c>
      <c r="G143" s="57" t="s">
        <v>1763</v>
      </c>
      <c r="H143" s="226">
        <v>30.559000000000001</v>
      </c>
      <c r="I143" s="52">
        <v>2024</v>
      </c>
      <c r="J143" s="228">
        <v>9340622</v>
      </c>
      <c r="K143" s="52">
        <v>2022</v>
      </c>
      <c r="L143" s="52" t="s">
        <v>1769</v>
      </c>
      <c r="M143" s="228">
        <v>26159867</v>
      </c>
      <c r="N143" s="52">
        <v>2023</v>
      </c>
      <c r="O143" s="44">
        <f t="shared" si="18"/>
        <v>0.3570592312262138</v>
      </c>
      <c r="P143" s="227">
        <v>4.2699999999999996</v>
      </c>
      <c r="Q143" s="227">
        <v>7.71</v>
      </c>
      <c r="R143" s="227">
        <v>11.48</v>
      </c>
      <c r="S143" s="227">
        <v>18.510000000000002</v>
      </c>
      <c r="T143" s="227">
        <v>58.01</v>
      </c>
      <c r="U143" s="233">
        <f t="shared" si="23"/>
        <v>117.48050147658137</v>
      </c>
      <c r="V143" s="233">
        <f t="shared" si="19"/>
        <v>212.12521460993969</v>
      </c>
      <c r="W143" s="233">
        <f t="shared" si="20"/>
        <v>315.84921708457944</v>
      </c>
      <c r="X143" s="233">
        <f t="shared" si="21"/>
        <v>509.26559305187862</v>
      </c>
      <c r="Y143" s="233">
        <f t="shared" si="22"/>
        <v>1596.0290142052659</v>
      </c>
      <c r="Z143" s="58">
        <f t="shared" si="24"/>
        <v>164.80285804326053</v>
      </c>
      <c r="AA143" s="58">
        <f t="shared" si="25"/>
        <v>315.84921708457944</v>
      </c>
      <c r="AB143" s="58">
        <f t="shared" si="26"/>
        <v>1596.0290142052659</v>
      </c>
    </row>
    <row r="144" spans="1:28">
      <c r="A144" s="52" t="s">
        <v>554</v>
      </c>
      <c r="B144" s="52" t="s">
        <v>555</v>
      </c>
      <c r="C144" s="52" t="s">
        <v>119</v>
      </c>
      <c r="D144" s="52" t="s">
        <v>325</v>
      </c>
      <c r="E144" s="225">
        <v>363846332834.61841</v>
      </c>
      <c r="F144" s="52">
        <v>2023</v>
      </c>
      <c r="G144" s="57" t="s">
        <v>1763</v>
      </c>
      <c r="H144" s="226">
        <v>73.566999999999993</v>
      </c>
      <c r="I144" s="52">
        <v>2024</v>
      </c>
      <c r="J144" s="228">
        <v>73371947</v>
      </c>
      <c r="K144" s="52">
        <v>2023</v>
      </c>
      <c r="L144" s="52" t="s">
        <v>1769</v>
      </c>
      <c r="M144" s="228">
        <v>227882945</v>
      </c>
      <c r="N144" s="52">
        <v>2023</v>
      </c>
      <c r="O144" s="44">
        <f t="shared" si="18"/>
        <v>0.32197208527386723</v>
      </c>
      <c r="P144" s="227">
        <v>7.41</v>
      </c>
      <c r="Q144" s="227">
        <v>11.55</v>
      </c>
      <c r="R144" s="227">
        <v>15.63</v>
      </c>
      <c r="S144" s="227">
        <v>21.93</v>
      </c>
      <c r="T144" s="227">
        <v>43.48</v>
      </c>
      <c r="U144" s="233">
        <f t="shared" si="23"/>
        <v>1351.6343397037342</v>
      </c>
      <c r="V144" s="233">
        <f t="shared" si="19"/>
        <v>2106.7984647203957</v>
      </c>
      <c r="W144" s="233">
        <f t="shared" si="20"/>
        <v>2851.0181821281199</v>
      </c>
      <c r="X144" s="233">
        <f t="shared" si="21"/>
        <v>4000.1809810665172</v>
      </c>
      <c r="Y144" s="233">
        <f t="shared" si="22"/>
        <v>7931.0473806097652</v>
      </c>
      <c r="Z144" s="58">
        <f t="shared" si="24"/>
        <v>1729.2164022120651</v>
      </c>
      <c r="AA144" s="58">
        <f t="shared" si="25"/>
        <v>2851.0181821281199</v>
      </c>
      <c r="AB144" s="58">
        <f t="shared" si="26"/>
        <v>7931.0473806097652</v>
      </c>
    </row>
    <row r="145" spans="1:28">
      <c r="A145" s="52" t="s">
        <v>550</v>
      </c>
      <c r="B145" s="52" t="s">
        <v>551</v>
      </c>
      <c r="C145" s="52" t="s">
        <v>116</v>
      </c>
      <c r="D145" s="52" t="s">
        <v>325</v>
      </c>
      <c r="E145" s="225">
        <v>17829218219.359112</v>
      </c>
      <c r="F145" s="52">
        <v>2023</v>
      </c>
      <c r="G145" s="57" t="s">
        <v>1763</v>
      </c>
      <c r="H145" s="226">
        <v>46.723999999999997</v>
      </c>
      <c r="I145" s="52">
        <v>2024</v>
      </c>
      <c r="J145" s="228">
        <v>2794946</v>
      </c>
      <c r="K145" s="52">
        <v>2014</v>
      </c>
      <c r="L145" s="52" t="s">
        <v>1769</v>
      </c>
      <c r="M145" s="228">
        <v>6823613</v>
      </c>
      <c r="N145" s="52">
        <v>2023</v>
      </c>
      <c r="O145" s="44">
        <f t="shared" si="18"/>
        <v>0.40959913758297839</v>
      </c>
      <c r="P145" s="227">
        <v>4</v>
      </c>
      <c r="Q145" s="227">
        <v>8.6</v>
      </c>
      <c r="R145" s="227">
        <v>13.22</v>
      </c>
      <c r="S145" s="227">
        <v>19.62</v>
      </c>
      <c r="T145" s="227">
        <v>54.55</v>
      </c>
      <c r="U145" s="233">
        <f t="shared" si="23"/>
        <v>596.11340761598615</v>
      </c>
      <c r="V145" s="233">
        <f t="shared" si="19"/>
        <v>1281.6438263743701</v>
      </c>
      <c r="W145" s="233">
        <f t="shared" si="20"/>
        <v>1970.1548121708342</v>
      </c>
      <c r="X145" s="233">
        <f t="shared" si="21"/>
        <v>2923.9362643564123</v>
      </c>
      <c r="Y145" s="233">
        <f t="shared" si="22"/>
        <v>8129.4965963630102</v>
      </c>
      <c r="Z145" s="58">
        <f t="shared" si="24"/>
        <v>938.87861699517816</v>
      </c>
      <c r="AA145" s="58">
        <f t="shared" si="25"/>
        <v>1970.1548121708342</v>
      </c>
      <c r="AB145" s="58">
        <f t="shared" si="26"/>
        <v>8129.4965963630102</v>
      </c>
    </row>
    <row r="146" spans="1:28">
      <c r="A146" s="52" t="s">
        <v>546</v>
      </c>
      <c r="B146" s="52" t="s">
        <v>547</v>
      </c>
      <c r="C146" s="52" t="s">
        <v>115</v>
      </c>
      <c r="D146" s="52" t="s">
        <v>121</v>
      </c>
      <c r="E146" s="225">
        <v>1154361305398.0596</v>
      </c>
      <c r="F146" s="52">
        <v>2023</v>
      </c>
      <c r="G146" s="57" t="s">
        <v>1763</v>
      </c>
      <c r="H146" s="226">
        <v>62.103000000000002</v>
      </c>
      <c r="I146" s="52">
        <v>2024</v>
      </c>
      <c r="J146" s="228">
        <v>10144124</v>
      </c>
      <c r="K146" s="52">
        <v>2023</v>
      </c>
      <c r="L146" s="52" t="s">
        <v>1769</v>
      </c>
      <c r="M146" s="228">
        <v>17877117</v>
      </c>
      <c r="N146" s="52">
        <v>2023</v>
      </c>
      <c r="O146" s="44">
        <f t="shared" si="18"/>
        <v>0.56743623706216162</v>
      </c>
      <c r="P146" s="227">
        <v>8.5399999999999991</v>
      </c>
      <c r="Q146" s="227">
        <v>13.63</v>
      </c>
      <c r="R146" s="227">
        <v>17.36</v>
      </c>
      <c r="S146" s="227">
        <v>22.2</v>
      </c>
      <c r="T146" s="227">
        <v>38.26</v>
      </c>
      <c r="U146" s="233">
        <f t="shared" si="23"/>
        <v>30176.416577400803</v>
      </c>
      <c r="V146" s="233">
        <f t="shared" si="19"/>
        <v>48162.12622365023</v>
      </c>
      <c r="W146" s="233">
        <f t="shared" si="20"/>
        <v>61342.223862257386</v>
      </c>
      <c r="X146" s="233">
        <f t="shared" si="21"/>
        <v>78444.548948278447</v>
      </c>
      <c r="Y146" s="233">
        <f t="shared" si="22"/>
        <v>135193.17309734836</v>
      </c>
      <c r="Z146" s="58">
        <f t="shared" si="24"/>
        <v>39169.271400525518</v>
      </c>
      <c r="AA146" s="58">
        <f t="shared" si="25"/>
        <v>61342.223862257386</v>
      </c>
      <c r="AB146" s="58">
        <f t="shared" si="26"/>
        <v>135193.17309734836</v>
      </c>
    </row>
    <row r="147" spans="1:28">
      <c r="A147" s="52" t="s">
        <v>556</v>
      </c>
      <c r="B147" s="52" t="s">
        <v>557</v>
      </c>
      <c r="C147" s="52" t="s">
        <v>115</v>
      </c>
      <c r="D147" s="52" t="s">
        <v>121</v>
      </c>
      <c r="E147" s="225">
        <v>485310823603.66199</v>
      </c>
      <c r="F147" s="52">
        <v>2023</v>
      </c>
      <c r="G147" s="57" t="s">
        <v>1763</v>
      </c>
      <c r="H147" s="226">
        <v>47.081000000000003</v>
      </c>
      <c r="I147" s="52">
        <v>2024</v>
      </c>
      <c r="J147" s="228">
        <v>2998862</v>
      </c>
      <c r="K147" s="52">
        <v>2023</v>
      </c>
      <c r="L147" s="52" t="s">
        <v>1769</v>
      </c>
      <c r="M147" s="228">
        <v>5519594</v>
      </c>
      <c r="N147" s="52">
        <v>2023</v>
      </c>
      <c r="O147" s="44">
        <f t="shared" si="18"/>
        <v>0.54331206244517261</v>
      </c>
      <c r="P147" s="227">
        <v>8.64</v>
      </c>
      <c r="Q147" s="227">
        <v>14.39</v>
      </c>
      <c r="R147" s="227">
        <v>17.93</v>
      </c>
      <c r="S147" s="227">
        <v>22.64</v>
      </c>
      <c r="T147" s="227">
        <v>36.4</v>
      </c>
      <c r="U147" s="233">
        <f t="shared" si="23"/>
        <v>32914.928925666783</v>
      </c>
      <c r="V147" s="233">
        <f t="shared" si="19"/>
        <v>54820.118893558436</v>
      </c>
      <c r="W147" s="233">
        <f t="shared" si="20"/>
        <v>68306.096717269131</v>
      </c>
      <c r="X147" s="233">
        <f t="shared" si="21"/>
        <v>86249.304499663864</v>
      </c>
      <c r="Y147" s="233">
        <f t="shared" si="22"/>
        <v>138669.37649239245</v>
      </c>
      <c r="Z147" s="58">
        <f t="shared" si="24"/>
        <v>43867.52390961261</v>
      </c>
      <c r="AA147" s="58">
        <f t="shared" si="25"/>
        <v>68306.096717269131</v>
      </c>
      <c r="AB147" s="58">
        <f t="shared" si="26"/>
        <v>138669.37649239245</v>
      </c>
    </row>
    <row r="148" spans="1:28">
      <c r="A148" s="52" t="s">
        <v>544</v>
      </c>
      <c r="B148" s="52" t="s">
        <v>545</v>
      </c>
      <c r="C148" s="52" t="s">
        <v>118</v>
      </c>
      <c r="D148" s="52" t="s">
        <v>325</v>
      </c>
      <c r="E148" s="225">
        <v>40908073366.84552</v>
      </c>
      <c r="F148" s="52">
        <v>2023</v>
      </c>
      <c r="G148" s="57" t="s">
        <v>1763</v>
      </c>
      <c r="H148" s="226">
        <v>45.408000000000001</v>
      </c>
      <c r="I148" s="52">
        <v>2024</v>
      </c>
      <c r="J148" s="228">
        <v>8280096</v>
      </c>
      <c r="K148" s="52">
        <v>2017</v>
      </c>
      <c r="L148" s="52" t="s">
        <v>1769</v>
      </c>
      <c r="M148" s="228">
        <v>29694614</v>
      </c>
      <c r="N148" s="52">
        <v>2023</v>
      </c>
      <c r="O148" s="44">
        <f t="shared" si="18"/>
        <v>0.27884167815752714</v>
      </c>
      <c r="P148" s="227">
        <v>4.71</v>
      </c>
      <c r="Q148" s="227">
        <v>8.75</v>
      </c>
      <c r="R148" s="227">
        <v>13.19</v>
      </c>
      <c r="S148" s="227">
        <v>20.55</v>
      </c>
      <c r="T148" s="227">
        <v>52.8</v>
      </c>
      <c r="U148" s="233">
        <f t="shared" si="23"/>
        <v>528.31986347323198</v>
      </c>
      <c r="V148" s="233">
        <f t="shared" si="19"/>
        <v>981.48594594284054</v>
      </c>
      <c r="W148" s="233">
        <f t="shared" si="20"/>
        <v>1479.5199573698362</v>
      </c>
      <c r="X148" s="233">
        <f t="shared" si="21"/>
        <v>2305.0898501857573</v>
      </c>
      <c r="Y148" s="233">
        <f t="shared" si="22"/>
        <v>5922.5666223750832</v>
      </c>
      <c r="Z148" s="58">
        <f t="shared" si="24"/>
        <v>754.9029047080362</v>
      </c>
      <c r="AA148" s="58">
        <f t="shared" si="25"/>
        <v>1479.5199573698362</v>
      </c>
      <c r="AB148" s="58">
        <f t="shared" si="26"/>
        <v>5922.5666223750832</v>
      </c>
    </row>
    <row r="149" spans="1:28">
      <c r="A149" s="52" t="s">
        <v>764</v>
      </c>
      <c r="B149" s="52" t="s">
        <v>765</v>
      </c>
      <c r="C149" s="52" t="s">
        <v>114</v>
      </c>
      <c r="D149" s="52" t="s">
        <v>121</v>
      </c>
      <c r="E149" s="225">
        <v>154170289.32186124</v>
      </c>
      <c r="F149" s="52">
        <v>2023</v>
      </c>
      <c r="G149" s="57" t="s">
        <v>1763</v>
      </c>
      <c r="H149" s="226">
        <v>52.2</v>
      </c>
      <c r="I149" s="52">
        <v>2024</v>
      </c>
      <c r="J149" s="228">
        <v>4688</v>
      </c>
      <c r="K149" s="52">
        <v>2021</v>
      </c>
      <c r="L149" s="52" t="s">
        <v>1769</v>
      </c>
      <c r="M149" s="228">
        <v>11875</v>
      </c>
      <c r="N149" s="52">
        <v>2023</v>
      </c>
      <c r="O149" s="44">
        <f t="shared" si="18"/>
        <v>0.39477894736842106</v>
      </c>
      <c r="P149" s="227">
        <v>7.43</v>
      </c>
      <c r="Q149" s="227">
        <v>12.35</v>
      </c>
      <c r="R149" s="227">
        <v>15.88</v>
      </c>
      <c r="S149" s="227">
        <v>21.41</v>
      </c>
      <c r="T149" s="227">
        <v>42.93</v>
      </c>
      <c r="U149" s="233">
        <f t="shared" si="23"/>
        <v>6377.3816160757879</v>
      </c>
      <c r="V149" s="233">
        <f t="shared" si="19"/>
        <v>10600.358406263254</v>
      </c>
      <c r="W149" s="233">
        <f t="shared" si="20"/>
        <v>13630.258420361173</v>
      </c>
      <c r="X149" s="233">
        <f t="shared" si="21"/>
        <v>18376.815666242615</v>
      </c>
      <c r="Y149" s="233">
        <f t="shared" si="22"/>
        <v>36848.047480233326</v>
      </c>
      <c r="Z149" s="58">
        <f t="shared" si="24"/>
        <v>8488.8700111695216</v>
      </c>
      <c r="AA149" s="58">
        <f t="shared" si="25"/>
        <v>13630.258420361173</v>
      </c>
      <c r="AB149" s="58">
        <f t="shared" si="26"/>
        <v>36848.047480233326</v>
      </c>
    </row>
    <row r="150" spans="1:28">
      <c r="A150" s="52" t="s">
        <v>548</v>
      </c>
      <c r="B150" s="52" t="s">
        <v>549</v>
      </c>
      <c r="C150" s="52" t="s">
        <v>114</v>
      </c>
      <c r="D150" s="52" t="s">
        <v>121</v>
      </c>
      <c r="E150" s="225">
        <v>252175506110.16776</v>
      </c>
      <c r="F150" s="52">
        <v>2023</v>
      </c>
      <c r="G150" s="57" t="s">
        <v>1763</v>
      </c>
      <c r="H150" s="226">
        <v>53.106999999999999</v>
      </c>
      <c r="I150" s="52">
        <v>2024</v>
      </c>
      <c r="J150" s="228">
        <v>3044550</v>
      </c>
      <c r="K150" s="52">
        <v>2023</v>
      </c>
      <c r="L150" s="52" t="s">
        <v>1769</v>
      </c>
      <c r="M150" s="228">
        <v>5223100</v>
      </c>
      <c r="N150" s="52">
        <v>2023</v>
      </c>
      <c r="O150" s="44">
        <f t="shared" si="18"/>
        <v>0.5829009592004748</v>
      </c>
      <c r="P150" s="227">
        <v>7.33</v>
      </c>
      <c r="Q150" s="227">
        <v>11.8</v>
      </c>
      <c r="R150" s="227">
        <v>16.149999999999999</v>
      </c>
      <c r="S150" s="227">
        <v>22.09</v>
      </c>
      <c r="T150" s="227">
        <v>42.63</v>
      </c>
      <c r="U150" s="233">
        <f t="shared" si="23"/>
        <v>16121.503365018862</v>
      </c>
      <c r="V150" s="233">
        <f t="shared" si="19"/>
        <v>25952.761215173614</v>
      </c>
      <c r="W150" s="233">
        <f t="shared" si="20"/>
        <v>35520.092680089292</v>
      </c>
      <c r="X150" s="233">
        <f t="shared" si="21"/>
        <v>48584.44874942246</v>
      </c>
      <c r="Y150" s="233">
        <f t="shared" si="22"/>
        <v>93759.84835617381</v>
      </c>
      <c r="Z150" s="58">
        <f t="shared" si="24"/>
        <v>21037.132290096237</v>
      </c>
      <c r="AA150" s="58">
        <f t="shared" si="25"/>
        <v>35520.092680089292</v>
      </c>
      <c r="AB150" s="58">
        <f t="shared" si="26"/>
        <v>93759.84835617381</v>
      </c>
    </row>
    <row r="151" spans="1:28">
      <c r="A151" s="52" t="s">
        <v>710</v>
      </c>
      <c r="B151" s="52" t="s">
        <v>711</v>
      </c>
      <c r="C151" s="52" t="s">
        <v>117</v>
      </c>
      <c r="D151" s="52" t="s">
        <v>121</v>
      </c>
      <c r="E151" s="225">
        <v>108810923276.98309</v>
      </c>
      <c r="F151" s="52">
        <v>2023</v>
      </c>
      <c r="G151" s="57" t="s">
        <v>1763</v>
      </c>
      <c r="H151" s="226">
        <v>35.244</v>
      </c>
      <c r="I151" s="52">
        <v>2024</v>
      </c>
      <c r="J151" s="228">
        <v>2594507</v>
      </c>
      <c r="K151" s="52">
        <v>2022</v>
      </c>
      <c r="L151" s="52" t="s">
        <v>1769</v>
      </c>
      <c r="M151" s="228">
        <v>5049269</v>
      </c>
      <c r="N151" s="52">
        <v>2023</v>
      </c>
      <c r="O151" s="44">
        <f t="shared" si="18"/>
        <v>0.51383814171912801</v>
      </c>
      <c r="P151" s="227">
        <v>5.91</v>
      </c>
      <c r="Q151" s="227">
        <v>10.43</v>
      </c>
      <c r="R151" s="227">
        <v>15.32</v>
      </c>
      <c r="S151" s="227">
        <v>21.8</v>
      </c>
      <c r="T151" s="227">
        <v>46.55</v>
      </c>
      <c r="U151" s="233">
        <f t="shared" si="23"/>
        <v>4367.7756860255713</v>
      </c>
      <c r="V151" s="233">
        <f t="shared" si="19"/>
        <v>7708.2741802447899</v>
      </c>
      <c r="W151" s="233">
        <f t="shared" si="20"/>
        <v>11322.220560052749</v>
      </c>
      <c r="X151" s="233">
        <f t="shared" si="21"/>
        <v>16111.253799552866</v>
      </c>
      <c r="Y151" s="233">
        <f t="shared" si="22"/>
        <v>34402.700200421372</v>
      </c>
      <c r="Z151" s="58">
        <f t="shared" si="24"/>
        <v>6038.0249331351806</v>
      </c>
      <c r="AA151" s="58">
        <f t="shared" si="25"/>
        <v>11322.220560052749</v>
      </c>
      <c r="AB151" s="58">
        <f t="shared" si="26"/>
        <v>34402.700200421372</v>
      </c>
    </row>
    <row r="152" spans="1:28">
      <c r="A152" s="52" t="s">
        <v>558</v>
      </c>
      <c r="B152" s="52" t="s">
        <v>559</v>
      </c>
      <c r="C152" s="52" t="s">
        <v>118</v>
      </c>
      <c r="D152" s="52" t="s">
        <v>325</v>
      </c>
      <c r="E152" s="225">
        <v>337912301397.72717</v>
      </c>
      <c r="F152" s="52">
        <v>2023</v>
      </c>
      <c r="G152" s="57" t="s">
        <v>1763</v>
      </c>
      <c r="H152" s="226">
        <v>45.238999999999997</v>
      </c>
      <c r="I152" s="52">
        <v>2024</v>
      </c>
      <c r="J152" s="228">
        <v>65824584</v>
      </c>
      <c r="K152" s="52">
        <v>2021</v>
      </c>
      <c r="L152" s="52" t="s">
        <v>1769</v>
      </c>
      <c r="M152" s="228">
        <v>247504495</v>
      </c>
      <c r="N152" s="52">
        <v>2023</v>
      </c>
      <c r="O152" s="44">
        <f t="shared" si="18"/>
        <v>0.26595308501366816</v>
      </c>
      <c r="P152" s="227">
        <v>5.72</v>
      </c>
      <c r="Q152" s="227">
        <v>9.39</v>
      </c>
      <c r="R152" s="227">
        <v>13.34</v>
      </c>
      <c r="S152" s="227">
        <v>20.13</v>
      </c>
      <c r="T152" s="227">
        <v>51.43</v>
      </c>
      <c r="U152" s="233">
        <f t="shared" si="23"/>
        <v>664.19393952242638</v>
      </c>
      <c r="V152" s="233">
        <f t="shared" si="19"/>
        <v>1090.3463447754521</v>
      </c>
      <c r="W152" s="233">
        <f t="shared" si="20"/>
        <v>1549.0117400750294</v>
      </c>
      <c r="X152" s="233">
        <f t="shared" si="21"/>
        <v>2337.4517487039238</v>
      </c>
      <c r="Y152" s="233">
        <f t="shared" si="22"/>
        <v>5971.9395646220964</v>
      </c>
      <c r="Z152" s="58">
        <f t="shared" si="24"/>
        <v>877.27014214893916</v>
      </c>
      <c r="AA152" s="58">
        <f t="shared" si="25"/>
        <v>1549.0117400750294</v>
      </c>
      <c r="AB152" s="58">
        <f t="shared" si="26"/>
        <v>5971.9395646220964</v>
      </c>
    </row>
    <row r="153" spans="1:28">
      <c r="A153" s="52" t="s">
        <v>562</v>
      </c>
      <c r="B153" s="52" t="s">
        <v>563</v>
      </c>
      <c r="C153" s="52" t="s">
        <v>116</v>
      </c>
      <c r="D153" s="52" t="s">
        <v>121</v>
      </c>
      <c r="E153" s="225">
        <v>83318176900</v>
      </c>
      <c r="F153" s="52">
        <v>2023</v>
      </c>
      <c r="G153" s="57" t="s">
        <v>1763</v>
      </c>
      <c r="H153" s="226">
        <v>37.832999999999998</v>
      </c>
      <c r="I153" s="52">
        <v>2024</v>
      </c>
      <c r="J153" s="228">
        <v>2076010.0000000002</v>
      </c>
      <c r="K153" s="52">
        <v>2023</v>
      </c>
      <c r="L153" s="52" t="s">
        <v>1769</v>
      </c>
      <c r="M153" s="228">
        <v>4458759</v>
      </c>
      <c r="N153" s="52">
        <v>2023</v>
      </c>
      <c r="O153" s="44">
        <f t="shared" si="18"/>
        <v>0.46560264862936085</v>
      </c>
      <c r="P153" s="227">
        <v>3.19</v>
      </c>
      <c r="Q153" s="227">
        <v>7.87</v>
      </c>
      <c r="R153" s="227">
        <v>12.98</v>
      </c>
      <c r="S153" s="227">
        <v>20.87</v>
      </c>
      <c r="T153" s="227">
        <v>55.08</v>
      </c>
      <c r="U153" s="233">
        <f t="shared" si="23"/>
        <v>2421.8195749148754</v>
      </c>
      <c r="V153" s="233">
        <f t="shared" si="19"/>
        <v>5974.8338729091138</v>
      </c>
      <c r="W153" s="233">
        <f t="shared" si="20"/>
        <v>9854.3003393088038</v>
      </c>
      <c r="X153" s="233">
        <f t="shared" si="21"/>
        <v>15844.318034004214</v>
      </c>
      <c r="Y153" s="233">
        <f t="shared" si="22"/>
        <v>41816.245199470643</v>
      </c>
      <c r="Z153" s="58">
        <f t="shared" si="24"/>
        <v>4198.3267239119941</v>
      </c>
      <c r="AA153" s="58">
        <f t="shared" si="25"/>
        <v>9854.3003393088038</v>
      </c>
      <c r="AB153" s="58">
        <f t="shared" si="26"/>
        <v>41816.245199470643</v>
      </c>
    </row>
    <row r="154" spans="1:28">
      <c r="A154" s="52" t="s">
        <v>568</v>
      </c>
      <c r="B154" s="52" t="s">
        <v>569</v>
      </c>
      <c r="C154" s="52" t="s">
        <v>116</v>
      </c>
      <c r="D154" s="52" t="s">
        <v>322</v>
      </c>
      <c r="E154" s="225">
        <v>267603248655.25269</v>
      </c>
      <c r="F154" s="52">
        <v>2023</v>
      </c>
      <c r="G154" s="57" t="s">
        <v>1763</v>
      </c>
      <c r="H154" s="226">
        <v>46.164999999999999</v>
      </c>
      <c r="I154" s="52">
        <v>2024</v>
      </c>
      <c r="J154" s="228">
        <v>18511582</v>
      </c>
      <c r="K154" s="52">
        <v>2023</v>
      </c>
      <c r="L154" s="52" t="s">
        <v>1769</v>
      </c>
      <c r="M154" s="228">
        <v>33845617</v>
      </c>
      <c r="N154" s="52">
        <v>2023</v>
      </c>
      <c r="O154" s="44">
        <f t="shared" si="18"/>
        <v>0.5469417797879117</v>
      </c>
      <c r="P154" s="227">
        <v>3.18</v>
      </c>
      <c r="Q154" s="227">
        <v>8.6199999999999992</v>
      </c>
      <c r="R154" s="227">
        <v>14.21</v>
      </c>
      <c r="S154" s="227">
        <v>22.25</v>
      </c>
      <c r="T154" s="227">
        <v>51.73</v>
      </c>
      <c r="U154" s="233">
        <f t="shared" si="23"/>
        <v>1061.1036549404521</v>
      </c>
      <c r="V154" s="233">
        <f t="shared" si="19"/>
        <v>2876.325001756823</v>
      </c>
      <c r="W154" s="233">
        <f t="shared" si="20"/>
        <v>4741.598407768498</v>
      </c>
      <c r="X154" s="233">
        <f t="shared" si="21"/>
        <v>7424.3887806368111</v>
      </c>
      <c r="Y154" s="233">
        <f t="shared" si="22"/>
        <v>17261.286814487292</v>
      </c>
      <c r="Z154" s="58">
        <f t="shared" si="24"/>
        <v>1968.7143283486375</v>
      </c>
      <c r="AA154" s="58">
        <f t="shared" si="25"/>
        <v>4741.598407768498</v>
      </c>
      <c r="AB154" s="58">
        <f t="shared" si="26"/>
        <v>17261.286814487292</v>
      </c>
    </row>
    <row r="155" spans="1:28">
      <c r="A155" s="52" t="s">
        <v>570</v>
      </c>
      <c r="B155" s="52" t="s">
        <v>571</v>
      </c>
      <c r="C155" s="52" t="s">
        <v>114</v>
      </c>
      <c r="D155" s="52" t="s">
        <v>325</v>
      </c>
      <c r="E155" s="225">
        <v>437146372729.94244</v>
      </c>
      <c r="F155" s="52">
        <v>2023</v>
      </c>
      <c r="G155" s="57" t="s">
        <v>1763</v>
      </c>
      <c r="H155" s="226">
        <v>44.823</v>
      </c>
      <c r="I155" s="52">
        <v>2024</v>
      </c>
      <c r="J155" s="228">
        <v>47060099</v>
      </c>
      <c r="K155" s="52">
        <v>2022</v>
      </c>
      <c r="L155" s="52" t="s">
        <v>1769</v>
      </c>
      <c r="M155" s="228">
        <v>114891199</v>
      </c>
      <c r="N155" s="52">
        <v>2023</v>
      </c>
      <c r="O155" s="44">
        <f t="shared" si="18"/>
        <v>0.40960577841998153</v>
      </c>
      <c r="P155" s="227">
        <v>6.18</v>
      </c>
      <c r="Q155" s="227">
        <v>9.89</v>
      </c>
      <c r="R155" s="227">
        <v>13.99</v>
      </c>
      <c r="S155" s="227">
        <v>20.73</v>
      </c>
      <c r="T155" s="227">
        <v>49.21</v>
      </c>
      <c r="U155" s="233">
        <f t="shared" si="23"/>
        <v>1286.5700657038844</v>
      </c>
      <c r="V155" s="233">
        <f t="shared" si="19"/>
        <v>2058.9284708432715</v>
      </c>
      <c r="W155" s="233">
        <f t="shared" si="20"/>
        <v>2912.4781908086316</v>
      </c>
      <c r="X155" s="233">
        <f t="shared" si="21"/>
        <v>4315.6306572882722</v>
      </c>
      <c r="Y155" s="233">
        <f t="shared" si="22"/>
        <v>10244.678468169604</v>
      </c>
      <c r="Z155" s="58">
        <f t="shared" si="24"/>
        <v>1672.7492682735779</v>
      </c>
      <c r="AA155" s="58">
        <f t="shared" si="25"/>
        <v>2912.4781908086316</v>
      </c>
      <c r="AB155" s="58">
        <f t="shared" si="26"/>
        <v>10244.678468169604</v>
      </c>
    </row>
    <row r="156" spans="1:28">
      <c r="A156" s="52" t="s">
        <v>560</v>
      </c>
      <c r="B156" s="52" t="s">
        <v>561</v>
      </c>
      <c r="C156" s="52" t="s">
        <v>114</v>
      </c>
      <c r="D156" s="52" t="s">
        <v>322</v>
      </c>
      <c r="E156" s="225">
        <v>281849062.5</v>
      </c>
      <c r="F156" s="52">
        <v>2023</v>
      </c>
      <c r="G156" s="57" t="s">
        <v>1763</v>
      </c>
      <c r="H156" s="226">
        <v>43.9</v>
      </c>
      <c r="I156" s="52">
        <v>2024</v>
      </c>
      <c r="J156" s="228">
        <v>9539</v>
      </c>
      <c r="K156" s="52">
        <v>2020</v>
      </c>
      <c r="L156" s="52" t="s">
        <v>1769</v>
      </c>
      <c r="M156" s="228">
        <v>17727</v>
      </c>
      <c r="N156" s="52">
        <v>2023</v>
      </c>
      <c r="O156" s="44">
        <f t="shared" si="18"/>
        <v>0.53810571444688893</v>
      </c>
      <c r="P156" s="227">
        <v>6.41</v>
      </c>
      <c r="Q156" s="227">
        <v>10.17</v>
      </c>
      <c r="R156" s="227">
        <v>13.53</v>
      </c>
      <c r="S156" s="227">
        <v>20.34</v>
      </c>
      <c r="T156" s="227">
        <v>49.57</v>
      </c>
      <c r="U156" s="233">
        <f t="shared" si="23"/>
        <v>4157.2515116069553</v>
      </c>
      <c r="V156" s="233">
        <f t="shared" si="19"/>
        <v>6595.8265012547163</v>
      </c>
      <c r="W156" s="233">
        <f t="shared" si="20"/>
        <v>8774.9786196633559</v>
      </c>
      <c r="X156" s="233">
        <f t="shared" si="21"/>
        <v>13191.653002509433</v>
      </c>
      <c r="Y156" s="233">
        <f t="shared" si="22"/>
        <v>32148.979318308386</v>
      </c>
      <c r="Z156" s="58">
        <f t="shared" si="24"/>
        <v>5376.5390064308358</v>
      </c>
      <c r="AA156" s="58">
        <f t="shared" si="25"/>
        <v>8774.9786196633559</v>
      </c>
      <c r="AB156" s="58">
        <f t="shared" si="26"/>
        <v>32148.979318308386</v>
      </c>
    </row>
    <row r="157" spans="1:28">
      <c r="A157" s="52" t="s">
        <v>564</v>
      </c>
      <c r="B157" s="52" t="s">
        <v>565</v>
      </c>
      <c r="C157" s="52" t="s">
        <v>114</v>
      </c>
      <c r="D157" s="52" t="s">
        <v>325</v>
      </c>
      <c r="E157" s="225">
        <v>30729242919.441082</v>
      </c>
      <c r="F157" s="52">
        <v>2023</v>
      </c>
      <c r="G157" s="57" t="s">
        <v>1763</v>
      </c>
      <c r="H157" s="226">
        <v>32.030999999999999</v>
      </c>
      <c r="I157" s="52">
        <v>2024</v>
      </c>
      <c r="J157" s="228">
        <v>4111685.9999999995</v>
      </c>
      <c r="K157" s="52">
        <v>2022</v>
      </c>
      <c r="L157" s="52" t="s">
        <v>1769</v>
      </c>
      <c r="M157" s="228">
        <v>10389635</v>
      </c>
      <c r="N157" s="52">
        <v>2023</v>
      </c>
      <c r="O157" s="44">
        <f t="shared" si="18"/>
        <v>0.39574884006993505</v>
      </c>
      <c r="P157" s="227">
        <v>5.12</v>
      </c>
      <c r="Q157" s="227">
        <v>9.89</v>
      </c>
      <c r="R157" s="227">
        <v>14.82</v>
      </c>
      <c r="S157" s="227">
        <v>21.71</v>
      </c>
      <c r="T157" s="227">
        <v>48.46</v>
      </c>
      <c r="U157" s="233">
        <f t="shared" si="23"/>
        <v>612.83333714653804</v>
      </c>
      <c r="V157" s="233">
        <f t="shared" si="19"/>
        <v>1183.7737703865746</v>
      </c>
      <c r="W157" s="233">
        <f t="shared" si="20"/>
        <v>1773.8652454124399</v>
      </c>
      <c r="X157" s="233">
        <f t="shared" si="21"/>
        <v>2598.5569823147152</v>
      </c>
      <c r="Y157" s="233">
        <f t="shared" si="22"/>
        <v>5800.3717808830534</v>
      </c>
      <c r="Z157" s="58">
        <f t="shared" si="24"/>
        <v>898.30355376655632</v>
      </c>
      <c r="AA157" s="58">
        <f t="shared" si="25"/>
        <v>1773.8652454124399</v>
      </c>
      <c r="AB157" s="58">
        <f t="shared" si="26"/>
        <v>5800.3717808830534</v>
      </c>
    </row>
    <row r="158" spans="1:28">
      <c r="A158" s="52" t="s">
        <v>572</v>
      </c>
      <c r="B158" s="52" t="s">
        <v>573</v>
      </c>
      <c r="C158" s="52" t="s">
        <v>115</v>
      </c>
      <c r="D158" s="52" t="s">
        <v>121</v>
      </c>
      <c r="E158" s="225">
        <v>809200697797.08826</v>
      </c>
      <c r="F158" s="52">
        <v>2023</v>
      </c>
      <c r="G158" s="57" t="s">
        <v>1763</v>
      </c>
      <c r="H158" s="226">
        <v>49.23</v>
      </c>
      <c r="I158" s="52">
        <v>2024</v>
      </c>
      <c r="J158" s="228">
        <v>17582171</v>
      </c>
      <c r="K158" s="52">
        <v>2023</v>
      </c>
      <c r="L158" s="52" t="s">
        <v>1769</v>
      </c>
      <c r="M158" s="228">
        <v>36687353</v>
      </c>
      <c r="N158" s="52">
        <v>2023</v>
      </c>
      <c r="O158" s="44">
        <f t="shared" si="18"/>
        <v>0.47924337850157789</v>
      </c>
      <c r="P158" s="227">
        <v>7.06</v>
      </c>
      <c r="Q158" s="227">
        <v>13.42</v>
      </c>
      <c r="R158" s="227">
        <v>17.670000000000002</v>
      </c>
      <c r="S158" s="227">
        <v>22.63</v>
      </c>
      <c r="T158" s="227">
        <v>39.22</v>
      </c>
      <c r="U158" s="233">
        <f t="shared" si="23"/>
        <v>7998.1268948245233</v>
      </c>
      <c r="V158" s="233">
        <f t="shared" si="19"/>
        <v>15203.238375148032</v>
      </c>
      <c r="W158" s="233">
        <f t="shared" si="20"/>
        <v>20017.974820332773</v>
      </c>
      <c r="X158" s="233">
        <f t="shared" si="21"/>
        <v>25637.055471654247</v>
      </c>
      <c r="Y158" s="233">
        <f t="shared" si="22"/>
        <v>44431.520795328302</v>
      </c>
      <c r="Z158" s="58">
        <f t="shared" si="24"/>
        <v>11600.682634986279</v>
      </c>
      <c r="AA158" s="58">
        <f t="shared" si="25"/>
        <v>20017.974820332773</v>
      </c>
      <c r="AB158" s="58">
        <f t="shared" si="26"/>
        <v>44431.520795328302</v>
      </c>
    </row>
    <row r="159" spans="1:28">
      <c r="A159" s="52" t="s">
        <v>576</v>
      </c>
      <c r="B159" s="52" t="s">
        <v>577</v>
      </c>
      <c r="C159" s="52" t="s">
        <v>116</v>
      </c>
      <c r="D159" s="52" t="s">
        <v>121</v>
      </c>
      <c r="E159" s="225">
        <v>117902300000</v>
      </c>
      <c r="F159" s="52">
        <v>2023</v>
      </c>
      <c r="G159" s="57" t="s">
        <v>1763</v>
      </c>
      <c r="H159" s="226">
        <v>57.08</v>
      </c>
      <c r="I159" s="52">
        <v>2024</v>
      </c>
      <c r="J159" s="228">
        <v>1172000</v>
      </c>
      <c r="K159" s="52">
        <v>2023</v>
      </c>
      <c r="L159" s="52" t="s">
        <v>1770</v>
      </c>
      <c r="M159" s="228">
        <v>3205691</v>
      </c>
      <c r="N159" s="52">
        <v>2023</v>
      </c>
      <c r="O159" s="44">
        <f t="shared" si="18"/>
        <v>0.3655998035992864</v>
      </c>
      <c r="P159" s="227">
        <v>2.96</v>
      </c>
      <c r="Q159" s="227">
        <v>7.21</v>
      </c>
      <c r="R159" s="227">
        <v>12.72</v>
      </c>
      <c r="S159" s="227">
        <v>20.95</v>
      </c>
      <c r="T159" s="227">
        <v>56.15</v>
      </c>
      <c r="U159" s="233">
        <f t="shared" si="23"/>
        <v>8498.4621675085327</v>
      </c>
      <c r="V159" s="233">
        <f t="shared" si="19"/>
        <v>20700.646022883961</v>
      </c>
      <c r="W159" s="233">
        <f t="shared" si="20"/>
        <v>36520.418503617744</v>
      </c>
      <c r="X159" s="233">
        <f t="shared" si="21"/>
        <v>60149.588651791804</v>
      </c>
      <c r="Y159" s="233">
        <f t="shared" si="22"/>
        <v>161212.3819951365</v>
      </c>
      <c r="Z159" s="58">
        <f t="shared" si="24"/>
        <v>14599.554095196247</v>
      </c>
      <c r="AA159" s="58">
        <f t="shared" si="25"/>
        <v>36520.418503617744</v>
      </c>
      <c r="AB159" s="58">
        <f t="shared" si="26"/>
        <v>161212.3819951365</v>
      </c>
    </row>
    <row r="160" spans="1:28">
      <c r="A160" s="52" t="s">
        <v>766</v>
      </c>
      <c r="B160" s="52" t="s">
        <v>713</v>
      </c>
      <c r="C160" s="52" t="s">
        <v>114</v>
      </c>
      <c r="D160" s="52" t="s">
        <v>319</v>
      </c>
      <c r="E160" s="225">
        <v>23340000000</v>
      </c>
      <c r="F160" s="52">
        <v>2023</v>
      </c>
      <c r="G160" s="52" t="s">
        <v>1771</v>
      </c>
      <c r="H160" s="226">
        <v>34.700000000000003</v>
      </c>
      <c r="I160" s="52">
        <v>2024</v>
      </c>
      <c r="J160" s="228">
        <v>15966000</v>
      </c>
      <c r="K160" s="52">
        <v>2023</v>
      </c>
      <c r="L160" s="52" t="s">
        <v>1770</v>
      </c>
      <c r="M160" s="228">
        <v>26418204</v>
      </c>
      <c r="N160" s="52">
        <v>2023</v>
      </c>
      <c r="O160" s="44">
        <f t="shared" si="18"/>
        <v>0.60435599634252202</v>
      </c>
      <c r="P160" s="227">
        <v>0.2</v>
      </c>
      <c r="Q160" s="227">
        <v>0.2</v>
      </c>
      <c r="R160" s="227">
        <v>0.2</v>
      </c>
      <c r="S160" s="227">
        <v>0.2</v>
      </c>
      <c r="T160" s="227">
        <v>0.2</v>
      </c>
      <c r="U160" s="233">
        <f t="shared" si="23"/>
        <v>5.0726418639609179</v>
      </c>
      <c r="V160" s="233">
        <f t="shared" si="19"/>
        <v>5.0726418639609179</v>
      </c>
      <c r="W160" s="233">
        <f t="shared" si="20"/>
        <v>5.0726418639609179</v>
      </c>
      <c r="X160" s="233">
        <f t="shared" si="21"/>
        <v>5.0726418639609179</v>
      </c>
      <c r="Y160" s="233">
        <f t="shared" si="22"/>
        <v>5.0726418639609179</v>
      </c>
      <c r="Z160" s="58">
        <f t="shared" si="24"/>
        <v>5.0726418639609179</v>
      </c>
      <c r="AA160" s="58">
        <f t="shared" si="25"/>
        <v>5.0726418639609179</v>
      </c>
      <c r="AB160" s="58">
        <f t="shared" si="26"/>
        <v>5.0726418639609179</v>
      </c>
    </row>
    <row r="161" spans="1:28">
      <c r="A161" s="52" t="s">
        <v>574</v>
      </c>
      <c r="B161" s="52" t="s">
        <v>575</v>
      </c>
      <c r="C161" s="52" t="s">
        <v>115</v>
      </c>
      <c r="D161" s="52" t="s">
        <v>121</v>
      </c>
      <c r="E161" s="225">
        <v>289114289663.54236</v>
      </c>
      <c r="F161" s="52">
        <v>2023</v>
      </c>
      <c r="G161" s="57" t="s">
        <v>1763</v>
      </c>
      <c r="H161" s="226">
        <v>57.146000000000001</v>
      </c>
      <c r="I161" s="52">
        <v>2024</v>
      </c>
      <c r="J161" s="228">
        <v>5402253</v>
      </c>
      <c r="K161" s="52">
        <v>2023</v>
      </c>
      <c r="L161" s="52" t="s">
        <v>1769</v>
      </c>
      <c r="M161" s="228">
        <v>10578174</v>
      </c>
      <c r="N161" s="52">
        <v>2023</v>
      </c>
      <c r="O161" s="44">
        <f t="shared" si="18"/>
        <v>0.51069806565859099</v>
      </c>
      <c r="P161" s="227">
        <v>7.59</v>
      </c>
      <c r="Q161" s="227">
        <v>12.73</v>
      </c>
      <c r="R161" s="227">
        <v>16.73</v>
      </c>
      <c r="S161" s="227">
        <v>22.04</v>
      </c>
      <c r="T161" s="227">
        <v>40.9</v>
      </c>
      <c r="U161" s="233">
        <f t="shared" si="23"/>
        <v>11606.258929939608</v>
      </c>
      <c r="V161" s="233">
        <f t="shared" si="19"/>
        <v>19466.096993166164</v>
      </c>
      <c r="W161" s="233">
        <f t="shared" si="20"/>
        <v>25582.702489840533</v>
      </c>
      <c r="X161" s="233">
        <f t="shared" si="21"/>
        <v>33702.496286675756</v>
      </c>
      <c r="Y161" s="233">
        <f t="shared" si="22"/>
        <v>62542.291203495384</v>
      </c>
      <c r="Z161" s="58">
        <f t="shared" si="24"/>
        <v>15536.177961552887</v>
      </c>
      <c r="AA161" s="58">
        <f t="shared" si="25"/>
        <v>25582.702489840533</v>
      </c>
      <c r="AB161" s="58">
        <f t="shared" si="26"/>
        <v>62542.291203495384</v>
      </c>
    </row>
    <row r="162" spans="1:28">
      <c r="A162" s="52" t="s">
        <v>566</v>
      </c>
      <c r="B162" s="52" t="s">
        <v>567</v>
      </c>
      <c r="C162" s="52" t="s">
        <v>116</v>
      </c>
      <c r="D162" s="52" t="s">
        <v>322</v>
      </c>
      <c r="E162" s="225">
        <v>42956263543.948166</v>
      </c>
      <c r="F162" s="52">
        <v>2023</v>
      </c>
      <c r="G162" s="57" t="s">
        <v>1763</v>
      </c>
      <c r="H162" s="226">
        <v>45.051000000000002</v>
      </c>
      <c r="I162" s="52">
        <v>2024</v>
      </c>
      <c r="J162" s="228">
        <v>3438847</v>
      </c>
      <c r="K162" s="52">
        <v>2023</v>
      </c>
      <c r="L162" s="52" t="s">
        <v>1769</v>
      </c>
      <c r="M162" s="228">
        <v>6844146</v>
      </c>
      <c r="N162" s="52">
        <v>2023</v>
      </c>
      <c r="O162" s="44">
        <f t="shared" si="18"/>
        <v>0.5024508536200134</v>
      </c>
      <c r="P162" s="227">
        <v>4.28</v>
      </c>
      <c r="Q162" s="227">
        <v>8.7899999999999991</v>
      </c>
      <c r="R162" s="227">
        <v>13.84</v>
      </c>
      <c r="S162" s="227">
        <v>21.49</v>
      </c>
      <c r="T162" s="227">
        <v>51.61</v>
      </c>
      <c r="U162" s="233">
        <f t="shared" si="23"/>
        <v>1204.2921438160508</v>
      </c>
      <c r="V162" s="233">
        <f t="shared" si="19"/>
        <v>2473.3009215287584</v>
      </c>
      <c r="W162" s="233">
        <f t="shared" si="20"/>
        <v>3894.2531005640517</v>
      </c>
      <c r="X162" s="233">
        <f t="shared" si="21"/>
        <v>6046.7846193006844</v>
      </c>
      <c r="Y162" s="233">
        <f t="shared" si="22"/>
        <v>14521.849893071585</v>
      </c>
      <c r="Z162" s="58">
        <f t="shared" si="24"/>
        <v>1838.7965326724047</v>
      </c>
      <c r="AA162" s="58">
        <f t="shared" si="25"/>
        <v>3894.2531005640517</v>
      </c>
      <c r="AB162" s="58">
        <f t="shared" si="26"/>
        <v>14521.849893071585</v>
      </c>
    </row>
    <row r="163" spans="1:28">
      <c r="A163" s="52" t="s">
        <v>676</v>
      </c>
      <c r="B163" s="52" t="s">
        <v>677</v>
      </c>
      <c r="C163" s="52" t="s">
        <v>117</v>
      </c>
      <c r="D163" s="52" t="s">
        <v>322</v>
      </c>
      <c r="E163" s="225">
        <v>17420800000</v>
      </c>
      <c r="F163" s="52">
        <v>2023</v>
      </c>
      <c r="G163" s="57" t="s">
        <v>1763</v>
      </c>
      <c r="H163" s="226">
        <v>36.200000000000003</v>
      </c>
      <c r="I163" s="52">
        <v>2024</v>
      </c>
      <c r="J163" s="228">
        <v>1502983</v>
      </c>
      <c r="K163" s="52">
        <v>2022</v>
      </c>
      <c r="L163" s="52" t="s">
        <v>1769</v>
      </c>
      <c r="M163" s="228">
        <v>5165775</v>
      </c>
      <c r="N163" s="52">
        <v>2023</v>
      </c>
      <c r="O163" s="44">
        <f t="shared" si="18"/>
        <v>0.29095014784809636</v>
      </c>
      <c r="P163" s="227">
        <v>4.0199999999999996</v>
      </c>
      <c r="Q163" s="227">
        <v>8.92</v>
      </c>
      <c r="R163" s="227">
        <v>14.78</v>
      </c>
      <c r="S163" s="227">
        <v>23.31</v>
      </c>
      <c r="T163" s="227">
        <v>48.96</v>
      </c>
      <c r="U163" s="233">
        <f t="shared" si="23"/>
        <v>843.37098263919142</v>
      </c>
      <c r="V163" s="233">
        <f t="shared" si="19"/>
        <v>1871.360488841191</v>
      </c>
      <c r="W163" s="233">
        <f t="shared" si="20"/>
        <v>3100.7520207480725</v>
      </c>
      <c r="X163" s="233">
        <f t="shared" si="21"/>
        <v>4890.2929366466551</v>
      </c>
      <c r="Y163" s="233">
        <f t="shared" si="22"/>
        <v>10271.503310948961</v>
      </c>
      <c r="Z163" s="58">
        <f t="shared" si="24"/>
        <v>1357.3657357401912</v>
      </c>
      <c r="AA163" s="58">
        <f t="shared" si="25"/>
        <v>3100.7520207480725</v>
      </c>
      <c r="AB163" s="58">
        <f t="shared" si="26"/>
        <v>10271.503310948961</v>
      </c>
    </row>
    <row r="164" spans="1:28">
      <c r="A164" s="52" t="s">
        <v>714</v>
      </c>
      <c r="B164" s="52" t="s">
        <v>715</v>
      </c>
      <c r="C164" s="52" t="s">
        <v>114</v>
      </c>
      <c r="D164" s="52" t="s">
        <v>121</v>
      </c>
      <c r="E164" s="225">
        <v>5814661208.9054441</v>
      </c>
      <c r="F164" s="52">
        <v>2022</v>
      </c>
      <c r="G164" s="57" t="s">
        <v>1763</v>
      </c>
      <c r="H164" s="226">
        <v>51.128999999999998</v>
      </c>
      <c r="I164" s="52">
        <v>2024</v>
      </c>
      <c r="J164" s="228">
        <v>127000</v>
      </c>
      <c r="K164" s="52">
        <v>2023</v>
      </c>
      <c r="L164" s="52" t="s">
        <v>1770</v>
      </c>
      <c r="M164" s="228">
        <v>281118</v>
      </c>
      <c r="N164" s="52">
        <v>2023</v>
      </c>
      <c r="O164" s="44">
        <f t="shared" si="18"/>
        <v>0.45176758514218229</v>
      </c>
      <c r="P164" s="227">
        <v>7.2819999999999991</v>
      </c>
      <c r="Q164" s="227">
        <v>12.249999999999998</v>
      </c>
      <c r="R164" s="227">
        <v>16.434000000000001</v>
      </c>
      <c r="S164" s="227">
        <v>22.161000000000001</v>
      </c>
      <c r="T164" s="227">
        <v>41.876999999999995</v>
      </c>
      <c r="U164" s="233">
        <f t="shared" si="23"/>
        <v>8523.3176137906321</v>
      </c>
      <c r="V164" s="233">
        <f t="shared" si="19"/>
        <v>14338.181923775783</v>
      </c>
      <c r="W164" s="233">
        <f t="shared" si="20"/>
        <v>19235.402590639285</v>
      </c>
      <c r="X164" s="233">
        <f t="shared" si="21"/>
        <v>25938.648947983282</v>
      </c>
      <c r="Y164" s="233">
        <f t="shared" si="22"/>
        <v>49015.513830363969</v>
      </c>
      <c r="Z164" s="58">
        <f t="shared" si="24"/>
        <v>11430.749768783207</v>
      </c>
      <c r="AA164" s="58">
        <f t="shared" si="25"/>
        <v>19235.402590639285</v>
      </c>
      <c r="AB164" s="58">
        <f t="shared" si="26"/>
        <v>49015.513830363969</v>
      </c>
    </row>
    <row r="165" spans="1:28">
      <c r="A165" s="52" t="s">
        <v>578</v>
      </c>
      <c r="B165" s="52" t="s">
        <v>579</v>
      </c>
      <c r="C165" s="52" t="s">
        <v>117</v>
      </c>
      <c r="D165" s="52" t="s">
        <v>121</v>
      </c>
      <c r="E165" s="225">
        <v>213002809330.26675</v>
      </c>
      <c r="F165" s="52">
        <v>2023</v>
      </c>
      <c r="G165" s="57" t="s">
        <v>1763</v>
      </c>
      <c r="H165" s="226">
        <v>27.791</v>
      </c>
      <c r="I165" s="52">
        <v>2024</v>
      </c>
      <c r="J165" s="228">
        <v>2132688</v>
      </c>
      <c r="K165" s="52">
        <v>2022</v>
      </c>
      <c r="L165" s="52" t="s">
        <v>1769</v>
      </c>
      <c r="M165" s="228">
        <v>2656032</v>
      </c>
      <c r="N165" s="52">
        <v>2023</v>
      </c>
      <c r="O165" s="44">
        <f t="shared" si="18"/>
        <v>0.80296020529873136</v>
      </c>
      <c r="P165" s="227">
        <v>6.74</v>
      </c>
      <c r="Q165" s="227">
        <v>11.69</v>
      </c>
      <c r="R165" s="227">
        <v>16.84</v>
      </c>
      <c r="S165" s="227">
        <v>23.33</v>
      </c>
      <c r="T165" s="227">
        <v>41.4</v>
      </c>
      <c r="U165" s="233">
        <f t="shared" si="23"/>
        <v>9353.8861848092092</v>
      </c>
      <c r="V165" s="233">
        <f t="shared" si="19"/>
        <v>16223.580044572649</v>
      </c>
      <c r="W165" s="233">
        <f t="shared" si="20"/>
        <v>23370.837292609358</v>
      </c>
      <c r="X165" s="233">
        <f t="shared" si="21"/>
        <v>32377.769242076974</v>
      </c>
      <c r="Y165" s="233">
        <f t="shared" si="22"/>
        <v>57455.621372566951</v>
      </c>
      <c r="Z165" s="58">
        <f t="shared" si="24"/>
        <v>12788.733114690929</v>
      </c>
      <c r="AA165" s="58">
        <f t="shared" si="25"/>
        <v>23370.837292609358</v>
      </c>
      <c r="AB165" s="58">
        <f t="shared" si="26"/>
        <v>57455.621372566951</v>
      </c>
    </row>
    <row r="166" spans="1:28">
      <c r="A166" s="52" t="s">
        <v>580</v>
      </c>
      <c r="B166" s="52" t="s">
        <v>581</v>
      </c>
      <c r="C166" s="52" t="s">
        <v>115</v>
      </c>
      <c r="D166" s="52" t="s">
        <v>121</v>
      </c>
      <c r="E166" s="225">
        <v>350775856415.18921</v>
      </c>
      <c r="F166" s="52">
        <v>2023</v>
      </c>
      <c r="G166" s="57" t="s">
        <v>1763</v>
      </c>
      <c r="H166" s="226">
        <v>42.174999999999997</v>
      </c>
      <c r="I166" s="52">
        <v>2024</v>
      </c>
      <c r="J166" s="228">
        <v>8152032</v>
      </c>
      <c r="K166" s="52">
        <v>2023</v>
      </c>
      <c r="L166" s="52" t="s">
        <v>1769</v>
      </c>
      <c r="M166" s="228">
        <v>19059479</v>
      </c>
      <c r="N166" s="52">
        <v>2023</v>
      </c>
      <c r="O166" s="44">
        <f t="shared" si="18"/>
        <v>0.4277153640978329</v>
      </c>
      <c r="P166" s="227">
        <v>5.49</v>
      </c>
      <c r="Q166" s="227">
        <v>12.04</v>
      </c>
      <c r="R166" s="227">
        <v>17.77</v>
      </c>
      <c r="S166" s="227">
        <v>24.19</v>
      </c>
      <c r="T166" s="227">
        <v>40.49</v>
      </c>
      <c r="U166" s="233">
        <f t="shared" si="23"/>
        <v>4981.5128839205499</v>
      </c>
      <c r="V166" s="233">
        <f t="shared" si="19"/>
        <v>10924.847927578036</v>
      </c>
      <c r="W166" s="233">
        <f t="shared" si="20"/>
        <v>16124.131866533362</v>
      </c>
      <c r="X166" s="233">
        <f t="shared" si="21"/>
        <v>21949.507588713677</v>
      </c>
      <c r="Y166" s="233">
        <f t="shared" si="22"/>
        <v>36739.791743159032</v>
      </c>
      <c r="Z166" s="58">
        <f t="shared" si="24"/>
        <v>7953.1804057492927</v>
      </c>
      <c r="AA166" s="58">
        <f t="shared" si="25"/>
        <v>16124.131866533362</v>
      </c>
      <c r="AB166" s="58">
        <f t="shared" si="26"/>
        <v>36739.791743159032</v>
      </c>
    </row>
    <row r="167" spans="1:28">
      <c r="A167" s="52" t="s">
        <v>582</v>
      </c>
      <c r="B167" s="52" t="s">
        <v>583</v>
      </c>
      <c r="C167" s="52" t="s">
        <v>115</v>
      </c>
      <c r="D167" s="52" t="s">
        <v>322</v>
      </c>
      <c r="E167" s="225">
        <v>2021421476035.417</v>
      </c>
      <c r="F167" s="52">
        <v>2023</v>
      </c>
      <c r="G167" s="57" t="s">
        <v>1763</v>
      </c>
      <c r="H167" s="226">
        <v>51.973999999999997</v>
      </c>
      <c r="I167" s="52">
        <v>2024</v>
      </c>
      <c r="J167" s="228">
        <v>75973421</v>
      </c>
      <c r="K167" s="52">
        <v>2023</v>
      </c>
      <c r="L167" s="52" t="s">
        <v>1769</v>
      </c>
      <c r="M167" s="228">
        <v>143826130</v>
      </c>
      <c r="N167" s="52">
        <v>2023</v>
      </c>
      <c r="O167" s="44">
        <f t="shared" si="18"/>
        <v>0.52823100364307929</v>
      </c>
      <c r="P167" s="227">
        <v>6.97</v>
      </c>
      <c r="Q167" s="227">
        <v>11.8</v>
      </c>
      <c r="R167" s="227">
        <v>16.27</v>
      </c>
      <c r="S167" s="227">
        <v>22.63</v>
      </c>
      <c r="T167" s="227">
        <v>42.33</v>
      </c>
      <c r="U167" s="233">
        <f t="shared" si="23"/>
        <v>4819.3017251019228</v>
      </c>
      <c r="V167" s="233">
        <f t="shared" si="19"/>
        <v>8158.9326192543322</v>
      </c>
      <c r="W167" s="233">
        <f t="shared" si="20"/>
        <v>11249.646925022709</v>
      </c>
      <c r="X167" s="233">
        <f t="shared" si="21"/>
        <v>15647.173319807247</v>
      </c>
      <c r="Y167" s="233">
        <f t="shared" si="22"/>
        <v>29268.442184155581</v>
      </c>
      <c r="Z167" s="58">
        <f t="shared" si="24"/>
        <v>6489.1171721781275</v>
      </c>
      <c r="AA167" s="58">
        <f t="shared" si="25"/>
        <v>11249.646925022709</v>
      </c>
      <c r="AB167" s="58">
        <f t="shared" si="26"/>
        <v>29268.442184155581</v>
      </c>
    </row>
    <row r="168" spans="1:28">
      <c r="A168" s="52" t="s">
        <v>584</v>
      </c>
      <c r="B168" s="52" t="s">
        <v>585</v>
      </c>
      <c r="C168" s="52" t="s">
        <v>119</v>
      </c>
      <c r="D168" s="52" t="s">
        <v>319</v>
      </c>
      <c r="E168" s="225">
        <v>14097768472.18828</v>
      </c>
      <c r="F168" s="52">
        <v>2023</v>
      </c>
      <c r="G168" s="57" t="s">
        <v>1763</v>
      </c>
      <c r="H168" s="226">
        <v>37.786000000000001</v>
      </c>
      <c r="I168" s="52">
        <v>2024</v>
      </c>
      <c r="J168" s="228">
        <v>5333169</v>
      </c>
      <c r="K168" s="52">
        <v>2023</v>
      </c>
      <c r="L168" s="52" t="s">
        <v>1769</v>
      </c>
      <c r="M168" s="228">
        <v>13954471</v>
      </c>
      <c r="N168" s="52">
        <v>2023</v>
      </c>
      <c r="O168" s="44">
        <f t="shared" si="18"/>
        <v>0.3821835309987745</v>
      </c>
      <c r="P168" s="227">
        <v>3.08</v>
      </c>
      <c r="Q168" s="227">
        <v>6.66</v>
      </c>
      <c r="R168" s="227">
        <v>10.5</v>
      </c>
      <c r="S168" s="227">
        <v>18.02</v>
      </c>
      <c r="T168" s="227">
        <v>61.74</v>
      </c>
      <c r="U168" s="233">
        <f t="shared" si="23"/>
        <v>153.82136782366427</v>
      </c>
      <c r="V168" s="233">
        <f t="shared" si="19"/>
        <v>332.61373691740397</v>
      </c>
      <c r="W168" s="233">
        <f t="shared" si="20"/>
        <v>524.39102667158272</v>
      </c>
      <c r="X168" s="233">
        <f t="shared" si="21"/>
        <v>899.95488577351648</v>
      </c>
      <c r="Y168" s="233">
        <f t="shared" si="22"/>
        <v>3083.4192368289073</v>
      </c>
      <c r="Z168" s="58">
        <f t="shared" si="24"/>
        <v>243.21755237053412</v>
      </c>
      <c r="AA168" s="58">
        <f t="shared" si="25"/>
        <v>524.39102667158272</v>
      </c>
      <c r="AB168" s="58">
        <f t="shared" si="26"/>
        <v>3083.4192368289073</v>
      </c>
    </row>
    <row r="169" spans="1:28">
      <c r="A169" s="52" t="s">
        <v>590</v>
      </c>
      <c r="B169" s="52" t="s">
        <v>591</v>
      </c>
      <c r="C169" s="52" t="s">
        <v>117</v>
      </c>
      <c r="D169" s="52" t="s">
        <v>121</v>
      </c>
      <c r="E169" s="225">
        <v>1067582933333.3334</v>
      </c>
      <c r="F169" s="52">
        <v>2023</v>
      </c>
      <c r="G169" s="57" t="s">
        <v>1763</v>
      </c>
      <c r="H169" s="226">
        <v>30.08</v>
      </c>
      <c r="I169" s="52">
        <v>2024</v>
      </c>
      <c r="J169" s="228">
        <v>15553000</v>
      </c>
      <c r="K169" s="52">
        <v>2023</v>
      </c>
      <c r="L169" s="52" t="s">
        <v>1770</v>
      </c>
      <c r="M169" s="228">
        <v>33264292</v>
      </c>
      <c r="N169" s="52">
        <v>2023</v>
      </c>
      <c r="O169" s="44">
        <f t="shared" si="18"/>
        <v>0.46755842571367517</v>
      </c>
      <c r="P169" s="227">
        <v>6.74</v>
      </c>
      <c r="Q169" s="227">
        <v>11.69</v>
      </c>
      <c r="R169" s="227">
        <v>16.84</v>
      </c>
      <c r="S169" s="227">
        <v>23.33</v>
      </c>
      <c r="T169" s="227">
        <v>41.4</v>
      </c>
      <c r="U169" s="233">
        <f t="shared" si="23"/>
        <v>6958.1723731001512</v>
      </c>
      <c r="V169" s="233">
        <f t="shared" si="19"/>
        <v>12068.402825154415</v>
      </c>
      <c r="W169" s="233">
        <f t="shared" si="20"/>
        <v>17385.107234867442</v>
      </c>
      <c r="X169" s="233">
        <f t="shared" si="21"/>
        <v>24085.187160894144</v>
      </c>
      <c r="Y169" s="233">
        <f t="shared" si="22"/>
        <v>42740.109235362943</v>
      </c>
      <c r="Z169" s="58">
        <f t="shared" si="24"/>
        <v>9513.2875991272831</v>
      </c>
      <c r="AA169" s="58">
        <f t="shared" si="25"/>
        <v>17385.107234867442</v>
      </c>
      <c r="AB169" s="58">
        <f t="shared" si="26"/>
        <v>42740.109235362943</v>
      </c>
    </row>
    <row r="170" spans="1:28">
      <c r="A170" s="52" t="s">
        <v>622</v>
      </c>
      <c r="B170" s="52" t="s">
        <v>623</v>
      </c>
      <c r="C170" s="52" t="s">
        <v>119</v>
      </c>
      <c r="D170" s="52" t="s">
        <v>319</v>
      </c>
      <c r="E170" s="225">
        <v>109265503110.9039</v>
      </c>
      <c r="F170" s="52">
        <v>2023</v>
      </c>
      <c r="G170" s="57" t="s">
        <v>1763</v>
      </c>
      <c r="H170" s="226">
        <v>37.287999999999997</v>
      </c>
      <c r="I170" s="52">
        <v>2024</v>
      </c>
      <c r="J170" s="228">
        <v>9795712</v>
      </c>
      <c r="K170" s="52">
        <v>2022</v>
      </c>
      <c r="L170" s="52" t="s">
        <v>1769</v>
      </c>
      <c r="M170" s="228">
        <v>50042791</v>
      </c>
      <c r="N170" s="52">
        <v>2023</v>
      </c>
      <c r="O170" s="44">
        <f t="shared" si="18"/>
        <v>0.19574671604547397</v>
      </c>
      <c r="P170" s="227">
        <v>3.98</v>
      </c>
      <c r="Q170" s="227">
        <v>7.56</v>
      </c>
      <c r="R170" s="227">
        <v>11.37</v>
      </c>
      <c r="S170" s="227">
        <v>18.28</v>
      </c>
      <c r="T170" s="227">
        <v>58.79</v>
      </c>
      <c r="U170" s="233">
        <f t="shared" si="23"/>
        <v>827.69289656522926</v>
      </c>
      <c r="V170" s="233">
        <f t="shared" si="19"/>
        <v>1572.2005773952594</v>
      </c>
      <c r="W170" s="233">
        <f t="shared" si="20"/>
        <v>2364.539757273029</v>
      </c>
      <c r="X170" s="233">
        <f t="shared" si="21"/>
        <v>3801.5643590985906</v>
      </c>
      <c r="Y170" s="233">
        <f t="shared" si="22"/>
        <v>12226.14708268086</v>
      </c>
      <c r="Z170" s="58">
        <f t="shared" si="24"/>
        <v>1199.9467369802444</v>
      </c>
      <c r="AA170" s="58">
        <f t="shared" si="25"/>
        <v>2364.539757273029</v>
      </c>
      <c r="AB170" s="58">
        <f t="shared" si="26"/>
        <v>12226.14708268086</v>
      </c>
    </row>
    <row r="171" spans="1:28">
      <c r="A171" s="52" t="s">
        <v>592</v>
      </c>
      <c r="B171" s="52" t="s">
        <v>593</v>
      </c>
      <c r="C171" s="52" t="s">
        <v>119</v>
      </c>
      <c r="D171" s="52" t="s">
        <v>325</v>
      </c>
      <c r="E171" s="225">
        <v>30848333083.705544</v>
      </c>
      <c r="F171" s="52">
        <v>2023</v>
      </c>
      <c r="G171" s="57" t="s">
        <v>1763</v>
      </c>
      <c r="H171" s="226">
        <v>39.762</v>
      </c>
      <c r="I171" s="52">
        <v>2024</v>
      </c>
      <c r="J171" s="228">
        <v>5512037</v>
      </c>
      <c r="K171" s="52">
        <v>2022</v>
      </c>
      <c r="L171" s="52" t="s">
        <v>1769</v>
      </c>
      <c r="M171" s="228">
        <v>18077573</v>
      </c>
      <c r="N171" s="52">
        <v>2023</v>
      </c>
      <c r="O171" s="44">
        <f t="shared" si="18"/>
        <v>0.30491023324867778</v>
      </c>
      <c r="P171" s="227">
        <v>3.82</v>
      </c>
      <c r="Q171" s="227">
        <v>7.41</v>
      </c>
      <c r="R171" s="227">
        <v>11.71</v>
      </c>
      <c r="S171" s="227">
        <v>18.690000000000001</v>
      </c>
      <c r="T171" s="227">
        <v>58.37</v>
      </c>
      <c r="U171" s="233">
        <f t="shared" si="23"/>
        <v>425.03154683865733</v>
      </c>
      <c r="V171" s="233">
        <f t="shared" si="19"/>
        <v>824.47218902472537</v>
      </c>
      <c r="W171" s="233">
        <f t="shared" si="20"/>
        <v>1302.9108412253086</v>
      </c>
      <c r="X171" s="233">
        <f t="shared" si="21"/>
        <v>2079.5391650299753</v>
      </c>
      <c r="Y171" s="233">
        <f t="shared" si="22"/>
        <v>6494.52654161582</v>
      </c>
      <c r="Z171" s="58">
        <f t="shared" si="24"/>
        <v>624.75186793169132</v>
      </c>
      <c r="AA171" s="58">
        <f t="shared" si="25"/>
        <v>1302.9108412253086</v>
      </c>
      <c r="AB171" s="58">
        <f t="shared" si="26"/>
        <v>6494.52654161582</v>
      </c>
    </row>
    <row r="172" spans="1:28">
      <c r="A172" s="52" t="s">
        <v>600</v>
      </c>
      <c r="B172" s="52" t="s">
        <v>601</v>
      </c>
      <c r="C172" s="52" t="s">
        <v>114</v>
      </c>
      <c r="D172" s="52" t="s">
        <v>121</v>
      </c>
      <c r="E172" s="225">
        <v>501427500080.05853</v>
      </c>
      <c r="F172" s="52">
        <v>2023</v>
      </c>
      <c r="G172" s="57" t="s">
        <v>1763</v>
      </c>
      <c r="H172" s="226">
        <v>42.942</v>
      </c>
      <c r="I172" s="52">
        <v>2024</v>
      </c>
      <c r="J172" s="228">
        <v>2436222</v>
      </c>
      <c r="K172" s="52">
        <v>2023</v>
      </c>
      <c r="L172" s="52" t="s">
        <v>1769</v>
      </c>
      <c r="M172" s="228">
        <v>5917648</v>
      </c>
      <c r="N172" s="52">
        <v>2023</v>
      </c>
      <c r="O172" s="44">
        <f t="shared" si="18"/>
        <v>0.41168754883697034</v>
      </c>
      <c r="P172" s="227">
        <v>4.78</v>
      </c>
      <c r="Q172" s="227">
        <v>10.6</v>
      </c>
      <c r="R172" s="227">
        <v>16.18</v>
      </c>
      <c r="S172" s="227">
        <v>23.27</v>
      </c>
      <c r="T172" s="227">
        <v>45.18</v>
      </c>
      <c r="U172" s="233">
        <f t="shared" si="23"/>
        <v>21123.771275017843</v>
      </c>
      <c r="V172" s="233">
        <f t="shared" si="19"/>
        <v>46843.509522006098</v>
      </c>
      <c r="W172" s="233">
        <f t="shared" si="20"/>
        <v>71502.640006231959</v>
      </c>
      <c r="X172" s="233">
        <f t="shared" si="21"/>
        <v>102834.76099783789</v>
      </c>
      <c r="Y172" s="233">
        <f t="shared" si="22"/>
        <v>199659.4113400222</v>
      </c>
      <c r="Z172" s="58">
        <f t="shared" si="24"/>
        <v>33983.640398511969</v>
      </c>
      <c r="AA172" s="58">
        <f t="shared" si="25"/>
        <v>71502.640006231959</v>
      </c>
      <c r="AB172" s="58">
        <f t="shared" si="26"/>
        <v>199659.4113400222</v>
      </c>
    </row>
    <row r="173" spans="1:28">
      <c r="A173" s="52" t="s">
        <v>606</v>
      </c>
      <c r="B173" s="52" t="s">
        <v>607</v>
      </c>
      <c r="C173" s="52" t="s">
        <v>114</v>
      </c>
      <c r="D173" s="52" t="s">
        <v>325</v>
      </c>
      <c r="E173" s="225">
        <v>1633319401.1941354</v>
      </c>
      <c r="F173" s="52">
        <v>2023</v>
      </c>
      <c r="G173" s="57" t="s">
        <v>1763</v>
      </c>
      <c r="H173" s="226">
        <v>43.311</v>
      </c>
      <c r="I173" s="52">
        <v>2024</v>
      </c>
      <c r="J173" s="228">
        <v>423000</v>
      </c>
      <c r="K173" s="52">
        <v>2023</v>
      </c>
      <c r="L173" s="52" t="s">
        <v>1770</v>
      </c>
      <c r="M173" s="228">
        <v>800005</v>
      </c>
      <c r="N173" s="52">
        <v>2023</v>
      </c>
      <c r="O173" s="44">
        <f t="shared" si="18"/>
        <v>0.52874669533315422</v>
      </c>
      <c r="P173" s="227">
        <v>6.53</v>
      </c>
      <c r="Q173" s="227">
        <v>10.82</v>
      </c>
      <c r="R173" s="227">
        <v>15.04</v>
      </c>
      <c r="S173" s="227">
        <v>21.08</v>
      </c>
      <c r="T173" s="227">
        <v>46.52</v>
      </c>
      <c r="U173" s="233">
        <f t="shared" si="23"/>
        <v>546.02452565109729</v>
      </c>
      <c r="V173" s="233">
        <f t="shared" si="19"/>
        <v>904.74507925648902</v>
      </c>
      <c r="W173" s="233">
        <f t="shared" si="20"/>
        <v>1257.6123837354521</v>
      </c>
      <c r="X173" s="233">
        <f t="shared" si="21"/>
        <v>1762.6641655015517</v>
      </c>
      <c r="Y173" s="233">
        <f t="shared" si="22"/>
        <v>3889.9021337349236</v>
      </c>
      <c r="Z173" s="58">
        <f t="shared" si="24"/>
        <v>725.3848024537931</v>
      </c>
      <c r="AA173" s="58">
        <f t="shared" si="25"/>
        <v>1257.6123837354521</v>
      </c>
      <c r="AB173" s="58">
        <f t="shared" si="26"/>
        <v>3889.9021337349236</v>
      </c>
    </row>
    <row r="174" spans="1:28">
      <c r="A174" s="52" t="s">
        <v>598</v>
      </c>
      <c r="B174" s="52" t="s">
        <v>599</v>
      </c>
      <c r="C174" s="52" t="s">
        <v>119</v>
      </c>
      <c r="D174" s="52" t="s">
        <v>319</v>
      </c>
      <c r="E174" s="225">
        <v>6411869546.2892885</v>
      </c>
      <c r="F174" s="52">
        <v>2023</v>
      </c>
      <c r="G174" s="57" t="s">
        <v>1763</v>
      </c>
      <c r="H174" s="226">
        <v>39.295999999999999</v>
      </c>
      <c r="I174" s="52">
        <v>2024</v>
      </c>
      <c r="J174" s="228">
        <v>2654710</v>
      </c>
      <c r="K174" s="52">
        <v>2018</v>
      </c>
      <c r="L174" s="52" t="s">
        <v>1769</v>
      </c>
      <c r="M174" s="228">
        <v>8460512</v>
      </c>
      <c r="N174" s="52">
        <v>2023</v>
      </c>
      <c r="O174" s="44">
        <f t="shared" si="18"/>
        <v>0.31377651848966115</v>
      </c>
      <c r="P174" s="227">
        <v>4.49</v>
      </c>
      <c r="Q174" s="227">
        <v>7.91</v>
      </c>
      <c r="R174" s="227">
        <v>11.72</v>
      </c>
      <c r="S174" s="227">
        <v>18.93</v>
      </c>
      <c r="T174" s="227">
        <v>56.95</v>
      </c>
      <c r="U174" s="233">
        <f t="shared" si="23"/>
        <v>213.0748946876528</v>
      </c>
      <c r="V174" s="233">
        <f t="shared" si="19"/>
        <v>375.37247594194514</v>
      </c>
      <c r="W174" s="233">
        <f t="shared" si="20"/>
        <v>556.17767611120075</v>
      </c>
      <c r="X174" s="233">
        <f t="shared" si="21"/>
        <v>898.33134887244262</v>
      </c>
      <c r="Y174" s="233">
        <f t="shared" si="22"/>
        <v>2702.5869159157742</v>
      </c>
      <c r="Z174" s="58">
        <f t="shared" si="24"/>
        <v>294.22368531479896</v>
      </c>
      <c r="AA174" s="58">
        <f t="shared" si="25"/>
        <v>556.17767611120075</v>
      </c>
      <c r="AB174" s="58">
        <f t="shared" si="26"/>
        <v>2702.5869159157742</v>
      </c>
    </row>
    <row r="175" spans="1:28">
      <c r="A175" s="52" t="s">
        <v>418</v>
      </c>
      <c r="B175" s="52" t="s">
        <v>419</v>
      </c>
      <c r="C175" s="52" t="s">
        <v>116</v>
      </c>
      <c r="D175" s="52" t="s">
        <v>322</v>
      </c>
      <c r="E175" s="225">
        <v>34015620000</v>
      </c>
      <c r="F175" s="52">
        <v>2023</v>
      </c>
      <c r="G175" s="57" t="s">
        <v>1763</v>
      </c>
      <c r="H175" s="226">
        <v>49.344000000000001</v>
      </c>
      <c r="I175" s="52">
        <v>2024</v>
      </c>
      <c r="J175" s="228">
        <v>3037596</v>
      </c>
      <c r="K175" s="52">
        <v>2023</v>
      </c>
      <c r="L175" s="52" t="s">
        <v>1769</v>
      </c>
      <c r="M175" s="228">
        <v>6309624</v>
      </c>
      <c r="N175" s="52">
        <v>2023</v>
      </c>
      <c r="O175" s="44">
        <f t="shared" si="18"/>
        <v>0.48142266480538304</v>
      </c>
      <c r="P175" s="227">
        <v>5.01</v>
      </c>
      <c r="Q175" s="227">
        <v>10.220000000000001</v>
      </c>
      <c r="R175" s="227">
        <v>15.13</v>
      </c>
      <c r="S175" s="227">
        <v>21.64</v>
      </c>
      <c r="T175" s="227">
        <v>47.99</v>
      </c>
      <c r="U175" s="233">
        <f t="shared" si="23"/>
        <v>1384.1732794507234</v>
      </c>
      <c r="V175" s="233">
        <f t="shared" si="19"/>
        <v>2823.6029772427933</v>
      </c>
      <c r="W175" s="233">
        <f t="shared" si="20"/>
        <v>4180.1480475228436</v>
      </c>
      <c r="X175" s="233">
        <f t="shared" si="21"/>
        <v>5978.7444645336636</v>
      </c>
      <c r="Y175" s="233">
        <f t="shared" si="22"/>
        <v>13258.77758100603</v>
      </c>
      <c r="Z175" s="58">
        <f t="shared" si="24"/>
        <v>2103.8881283467581</v>
      </c>
      <c r="AA175" s="58">
        <f t="shared" si="25"/>
        <v>4180.1480475228436</v>
      </c>
      <c r="AB175" s="58">
        <f t="shared" si="26"/>
        <v>13258.77758100603</v>
      </c>
    </row>
    <row r="176" spans="1:28">
      <c r="A176" s="52" t="s">
        <v>718</v>
      </c>
      <c r="B176" s="52" t="s">
        <v>719</v>
      </c>
      <c r="C176" s="52" t="s">
        <v>115</v>
      </c>
      <c r="D176" s="52" t="s">
        <v>121</v>
      </c>
      <c r="E176" s="225">
        <v>1831700577.0890374</v>
      </c>
      <c r="F176" s="52">
        <v>2022</v>
      </c>
      <c r="G176" s="57" t="s">
        <v>1763</v>
      </c>
      <c r="H176" s="226">
        <v>57.1</v>
      </c>
      <c r="I176" s="52">
        <v>2024</v>
      </c>
      <c r="J176" s="228">
        <v>16216.999999999998</v>
      </c>
      <c r="K176" s="52">
        <v>2022</v>
      </c>
      <c r="L176" s="52" t="s">
        <v>1769</v>
      </c>
      <c r="M176" s="228">
        <v>33860</v>
      </c>
      <c r="N176" s="52">
        <v>2023</v>
      </c>
      <c r="O176" s="44">
        <f t="shared" si="18"/>
        <v>0.47894270525694027</v>
      </c>
      <c r="P176" s="227">
        <v>7.34</v>
      </c>
      <c r="Q176" s="227">
        <v>12.84</v>
      </c>
      <c r="R176" s="227">
        <v>17.21</v>
      </c>
      <c r="S176" s="227">
        <v>22.81</v>
      </c>
      <c r="T176" s="227">
        <v>39.81</v>
      </c>
      <c r="U176" s="233">
        <f t="shared" si="23"/>
        <v>23669.339448297927</v>
      </c>
      <c r="V176" s="233">
        <f t="shared" si="19"/>
        <v>41405.220506286838</v>
      </c>
      <c r="W176" s="233">
        <f t="shared" si="20"/>
        <v>55497.184183270751</v>
      </c>
      <c r="X176" s="233">
        <f t="shared" si="21"/>
        <v>73555.535805950378</v>
      </c>
      <c r="Y176" s="233">
        <f t="shared" si="22"/>
        <v>128375.53180337064</v>
      </c>
      <c r="Z176" s="58">
        <f t="shared" si="24"/>
        <v>32537.279977292383</v>
      </c>
      <c r="AA176" s="58">
        <f t="shared" si="25"/>
        <v>55497.184183270751</v>
      </c>
      <c r="AB176" s="58">
        <f t="shared" si="26"/>
        <v>128375.53180337064</v>
      </c>
    </row>
    <row r="177" spans="1:28">
      <c r="A177" s="52" t="s">
        <v>608</v>
      </c>
      <c r="B177" s="52" t="s">
        <v>609</v>
      </c>
      <c r="C177" s="52" t="s">
        <v>119</v>
      </c>
      <c r="D177" s="52" t="s">
        <v>319</v>
      </c>
      <c r="E177" s="225">
        <v>10968517090.000368</v>
      </c>
      <c r="F177" s="52">
        <v>2023</v>
      </c>
      <c r="G177" s="57" t="s">
        <v>1763</v>
      </c>
      <c r="H177" s="226">
        <v>35.497</v>
      </c>
      <c r="I177" s="52">
        <v>2024</v>
      </c>
      <c r="J177" s="228">
        <v>1276557</v>
      </c>
      <c r="K177" s="52">
        <v>2019</v>
      </c>
      <c r="L177" s="52" t="s">
        <v>1769</v>
      </c>
      <c r="M177" s="228">
        <v>18358615</v>
      </c>
      <c r="N177" s="52">
        <v>2023</v>
      </c>
      <c r="O177" s="44">
        <f t="shared" si="18"/>
        <v>6.9534493751298776E-2</v>
      </c>
      <c r="P177" s="227">
        <v>2.5099999999999998</v>
      </c>
      <c r="Q177" s="227">
        <v>7</v>
      </c>
      <c r="R177" s="227">
        <v>11.89</v>
      </c>
      <c r="S177" s="227">
        <v>20.420000000000002</v>
      </c>
      <c r="T177" s="227">
        <v>58.17</v>
      </c>
      <c r="U177" s="233">
        <f t="shared" si="23"/>
        <v>382.77457347019947</v>
      </c>
      <c r="V177" s="233">
        <f t="shared" si="19"/>
        <v>1067.4988104746603</v>
      </c>
      <c r="W177" s="233">
        <f t="shared" si="20"/>
        <v>1813.222979506244</v>
      </c>
      <c r="X177" s="233">
        <f t="shared" si="21"/>
        <v>3114.046529984651</v>
      </c>
      <c r="Y177" s="233">
        <f t="shared" si="22"/>
        <v>8870.915115044425</v>
      </c>
      <c r="Z177" s="58">
        <f t="shared" si="24"/>
        <v>725.13669197242984</v>
      </c>
      <c r="AA177" s="58">
        <f t="shared" si="25"/>
        <v>1813.222979506244</v>
      </c>
      <c r="AB177" s="58">
        <f t="shared" si="26"/>
        <v>8870.915115044425</v>
      </c>
    </row>
    <row r="178" spans="1:28">
      <c r="A178" s="52" t="s">
        <v>594</v>
      </c>
      <c r="B178" s="52" t="s">
        <v>595</v>
      </c>
      <c r="C178" s="52" t="s">
        <v>115</v>
      </c>
      <c r="D178" s="52" t="s">
        <v>322</v>
      </c>
      <c r="E178" s="225">
        <v>81342660752.373199</v>
      </c>
      <c r="F178" s="52">
        <v>2023</v>
      </c>
      <c r="G178" s="57" t="s">
        <v>1763</v>
      </c>
      <c r="H178" s="226">
        <v>51.087000000000003</v>
      </c>
      <c r="I178" s="52">
        <v>2024</v>
      </c>
      <c r="J178" s="228">
        <v>3299996</v>
      </c>
      <c r="K178" s="52">
        <v>2023</v>
      </c>
      <c r="L178" s="52" t="s">
        <v>1769</v>
      </c>
      <c r="M178" s="228">
        <v>6623183</v>
      </c>
      <c r="N178" s="52">
        <v>2023</v>
      </c>
      <c r="O178" s="44">
        <f t="shared" si="18"/>
        <v>0.49824925568265288</v>
      </c>
      <c r="P178" s="227">
        <v>8.3000000000000007</v>
      </c>
      <c r="Q178" s="227">
        <v>14</v>
      </c>
      <c r="R178" s="227">
        <v>17.97</v>
      </c>
      <c r="S178" s="227">
        <v>23.08</v>
      </c>
      <c r="T178" s="227">
        <v>36.659999999999997</v>
      </c>
      <c r="U178" s="233">
        <f t="shared" si="23"/>
        <v>5225.9284301873186</v>
      </c>
      <c r="V178" s="233">
        <f t="shared" si="19"/>
        <v>8814.8190388701769</v>
      </c>
      <c r="W178" s="233">
        <f t="shared" si="20"/>
        <v>11314.44986632122</v>
      </c>
      <c r="X178" s="233">
        <f t="shared" si="21"/>
        <v>14531.858815508831</v>
      </c>
      <c r="Y178" s="233">
        <f t="shared" si="22"/>
        <v>23082.233283212903</v>
      </c>
      <c r="Z178" s="58">
        <f t="shared" si="24"/>
        <v>7020.3737345287482</v>
      </c>
      <c r="AA178" s="58">
        <f t="shared" si="25"/>
        <v>11314.44986632122</v>
      </c>
      <c r="AB178" s="58">
        <f t="shared" si="26"/>
        <v>23082.233283212903</v>
      </c>
    </row>
    <row r="179" spans="1:28">
      <c r="A179" s="52" t="s">
        <v>716</v>
      </c>
      <c r="B179" s="52" t="s">
        <v>717</v>
      </c>
      <c r="C179" s="52" t="s">
        <v>119</v>
      </c>
      <c r="D179" s="52" t="s">
        <v>319</v>
      </c>
      <c r="E179" s="225">
        <v>11997800760.224199</v>
      </c>
      <c r="F179" s="52">
        <v>2015</v>
      </c>
      <c r="G179" s="57" t="s">
        <v>1763</v>
      </c>
      <c r="H179" s="226">
        <v>39.463999999999999</v>
      </c>
      <c r="I179" s="52">
        <v>2024</v>
      </c>
      <c r="J179" s="228">
        <v>4883000</v>
      </c>
      <c r="K179" s="52">
        <v>2023</v>
      </c>
      <c r="L179" s="52" t="s">
        <v>1770</v>
      </c>
      <c r="M179" s="228">
        <v>11483374</v>
      </c>
      <c r="N179" s="52">
        <v>2023</v>
      </c>
      <c r="O179" s="44">
        <f t="shared" si="18"/>
        <v>0.42522345784435828</v>
      </c>
      <c r="P179" s="227">
        <v>1.52</v>
      </c>
      <c r="Q179" s="227">
        <v>5.81</v>
      </c>
      <c r="R179" s="227">
        <v>10.95</v>
      </c>
      <c r="S179" s="227">
        <v>20.18</v>
      </c>
      <c r="T179" s="227">
        <v>61.54</v>
      </c>
      <c r="U179" s="233">
        <f t="shared" si="23"/>
        <v>73.693573416573969</v>
      </c>
      <c r="V179" s="233">
        <f t="shared" si="19"/>
        <v>281.68398786203608</v>
      </c>
      <c r="W179" s="233">
        <f t="shared" si="20"/>
        <v>530.88462428387174</v>
      </c>
      <c r="X179" s="233">
        <f t="shared" si="21"/>
        <v>978.37915233319916</v>
      </c>
      <c r="Y179" s="233">
        <f t="shared" si="22"/>
        <v>2983.6200710894482</v>
      </c>
      <c r="Z179" s="58">
        <f t="shared" si="24"/>
        <v>177.68878063930504</v>
      </c>
      <c r="AA179" s="58">
        <f t="shared" si="25"/>
        <v>530.88462428387174</v>
      </c>
      <c r="AB179" s="58">
        <f t="shared" si="26"/>
        <v>2983.6200710894482</v>
      </c>
    </row>
    <row r="180" spans="1:28">
      <c r="A180" s="52" t="s">
        <v>767</v>
      </c>
      <c r="B180" s="52" t="s">
        <v>589</v>
      </c>
      <c r="C180" s="52" t="s">
        <v>119</v>
      </c>
      <c r="D180" s="52" t="s">
        <v>325</v>
      </c>
      <c r="E180" s="225">
        <v>678976264.83543599</v>
      </c>
      <c r="F180" s="52">
        <v>2023</v>
      </c>
      <c r="G180" s="57" t="s">
        <v>1763</v>
      </c>
      <c r="H180" s="226">
        <v>42.59</v>
      </c>
      <c r="I180" s="52">
        <v>2024</v>
      </c>
      <c r="J180" s="228">
        <v>23088</v>
      </c>
      <c r="K180" s="52">
        <v>2017</v>
      </c>
      <c r="L180" s="52" t="s">
        <v>1769</v>
      </c>
      <c r="M180" s="228">
        <v>230871</v>
      </c>
      <c r="N180" s="52">
        <v>2023</v>
      </c>
      <c r="O180" s="44">
        <f t="shared" si="18"/>
        <v>0.10000389828085814</v>
      </c>
      <c r="P180" s="227">
        <v>3.31</v>
      </c>
      <c r="Q180" s="227">
        <v>7.06</v>
      </c>
      <c r="R180" s="227">
        <v>11.43</v>
      </c>
      <c r="S180" s="227">
        <v>18.25</v>
      </c>
      <c r="T180" s="227">
        <v>59.95</v>
      </c>
      <c r="U180" s="233">
        <f t="shared" si="23"/>
        <v>2072.8788350012869</v>
      </c>
      <c r="V180" s="233">
        <f t="shared" si="19"/>
        <v>4421.3065181598449</v>
      </c>
      <c r="W180" s="233">
        <f t="shared" si="20"/>
        <v>7158.0075782672857</v>
      </c>
      <c r="X180" s="233">
        <f t="shared" si="21"/>
        <v>11429.014724704983</v>
      </c>
      <c r="Y180" s="233">
        <f t="shared" si="22"/>
        <v>37543.530561428153</v>
      </c>
      <c r="Z180" s="58">
        <f t="shared" si="24"/>
        <v>3247.0926765805661</v>
      </c>
      <c r="AA180" s="58">
        <f t="shared" si="25"/>
        <v>7158.0075782672857</v>
      </c>
      <c r="AB180" s="58">
        <f t="shared" si="26"/>
        <v>37543.530561428153</v>
      </c>
    </row>
    <row r="181" spans="1:28">
      <c r="A181" s="52" t="s">
        <v>624</v>
      </c>
      <c r="B181" s="52" t="s">
        <v>625</v>
      </c>
      <c r="C181" s="52" t="s">
        <v>116</v>
      </c>
      <c r="D181" s="52" t="s">
        <v>322</v>
      </c>
      <c r="E181" s="225">
        <v>3455146280.8397541</v>
      </c>
      <c r="F181" s="52">
        <v>2023</v>
      </c>
      <c r="G181" s="57" t="s">
        <v>1763</v>
      </c>
      <c r="H181" s="226">
        <v>49.104999999999997</v>
      </c>
      <c r="I181" s="52">
        <v>2024</v>
      </c>
      <c r="J181" s="228">
        <v>205988</v>
      </c>
      <c r="K181" s="52">
        <v>2016</v>
      </c>
      <c r="L181" s="52" t="s">
        <v>1769</v>
      </c>
      <c r="M181" s="228">
        <v>628886</v>
      </c>
      <c r="N181" s="52">
        <v>2023</v>
      </c>
      <c r="O181" s="44">
        <f t="shared" si="18"/>
        <v>0.32754426080402488</v>
      </c>
      <c r="P181" s="227">
        <v>1.03</v>
      </c>
      <c r="Q181" s="227">
        <v>6.25</v>
      </c>
      <c r="R181" s="227">
        <v>12.17</v>
      </c>
      <c r="S181" s="227">
        <v>20.04</v>
      </c>
      <c r="T181" s="227">
        <v>60.51</v>
      </c>
      <c r="U181" s="233">
        <f t="shared" si="23"/>
        <v>424.18710523005029</v>
      </c>
      <c r="V181" s="233">
        <f t="shared" si="19"/>
        <v>2573.950881250305</v>
      </c>
      <c r="W181" s="233">
        <f t="shared" si="20"/>
        <v>5011.9971559705937</v>
      </c>
      <c r="X181" s="233">
        <f t="shared" si="21"/>
        <v>8253.1161056409765</v>
      </c>
      <c r="Y181" s="233">
        <f t="shared" si="22"/>
        <v>24919.962851912951</v>
      </c>
      <c r="Z181" s="58">
        <f t="shared" si="24"/>
        <v>1499.0689932401776</v>
      </c>
      <c r="AA181" s="58">
        <f t="shared" si="25"/>
        <v>5011.9971559705937</v>
      </c>
      <c r="AB181" s="58">
        <f t="shared" si="26"/>
        <v>24919.962851912951</v>
      </c>
    </row>
    <row r="182" spans="1:28">
      <c r="A182" s="52" t="s">
        <v>602</v>
      </c>
      <c r="B182" s="52" t="s">
        <v>603</v>
      </c>
      <c r="C182" s="52" t="s">
        <v>115</v>
      </c>
      <c r="D182" s="52" t="s">
        <v>121</v>
      </c>
      <c r="E182" s="225">
        <v>132908336234.29451</v>
      </c>
      <c r="F182" s="52">
        <v>2023</v>
      </c>
      <c r="G182" s="57" t="s">
        <v>1763</v>
      </c>
      <c r="H182" s="226">
        <v>52.984999999999999</v>
      </c>
      <c r="I182" s="52">
        <v>2024</v>
      </c>
      <c r="J182" s="228">
        <v>2771052</v>
      </c>
      <c r="K182" s="52">
        <v>2023</v>
      </c>
      <c r="L182" s="52" t="s">
        <v>1769</v>
      </c>
      <c r="M182" s="228">
        <v>5426740</v>
      </c>
      <c r="N182" s="52">
        <v>2023</v>
      </c>
      <c r="O182" s="44">
        <f t="shared" si="18"/>
        <v>0.51062921754128632</v>
      </c>
      <c r="P182" s="227">
        <v>9.5500000000000007</v>
      </c>
      <c r="Q182" s="227">
        <v>15.36</v>
      </c>
      <c r="R182" s="227">
        <v>19.079999999999998</v>
      </c>
      <c r="S182" s="227">
        <v>23.08</v>
      </c>
      <c r="T182" s="227">
        <v>32.94</v>
      </c>
      <c r="U182" s="233">
        <f t="shared" si="23"/>
        <v>12134.834580120223</v>
      </c>
      <c r="V182" s="233">
        <f t="shared" si="19"/>
        <v>19517.388392737867</v>
      </c>
      <c r="W182" s="233">
        <f t="shared" si="20"/>
        <v>24244.255894104062</v>
      </c>
      <c r="X182" s="233">
        <f t="shared" si="21"/>
        <v>29326.909121379551</v>
      </c>
      <c r="Y182" s="233">
        <f t="shared" si="22"/>
        <v>41855.649326613624</v>
      </c>
      <c r="Z182" s="58">
        <f t="shared" si="24"/>
        <v>15826.111486429045</v>
      </c>
      <c r="AA182" s="58">
        <f t="shared" si="25"/>
        <v>24244.255894104062</v>
      </c>
      <c r="AB182" s="58">
        <f t="shared" si="26"/>
        <v>41855.649326613624</v>
      </c>
    </row>
    <row r="183" spans="1:28">
      <c r="A183" s="52" t="s">
        <v>604</v>
      </c>
      <c r="B183" s="52" t="s">
        <v>605</v>
      </c>
      <c r="C183" s="52" t="s">
        <v>115</v>
      </c>
      <c r="D183" s="52" t="s">
        <v>121</v>
      </c>
      <c r="E183" s="225">
        <v>69148468417.320831</v>
      </c>
      <c r="F183" s="52">
        <v>2023</v>
      </c>
      <c r="G183" s="57" t="s">
        <v>1763</v>
      </c>
      <c r="H183" s="226">
        <v>58.871000000000002</v>
      </c>
      <c r="I183" s="52">
        <v>2024</v>
      </c>
      <c r="J183" s="228">
        <v>1026888.9999999999</v>
      </c>
      <c r="K183" s="52">
        <v>2023</v>
      </c>
      <c r="L183" s="52" t="s">
        <v>1769</v>
      </c>
      <c r="M183" s="228">
        <v>2120461</v>
      </c>
      <c r="N183" s="52">
        <v>2023</v>
      </c>
      <c r="O183" s="44">
        <f t="shared" si="18"/>
        <v>0.4842762965223128</v>
      </c>
      <c r="P183" s="227">
        <v>9.7200000000000006</v>
      </c>
      <c r="Q183" s="227">
        <v>14.52</v>
      </c>
      <c r="R183" s="227">
        <v>18.14</v>
      </c>
      <c r="S183" s="227">
        <v>22.66</v>
      </c>
      <c r="T183" s="227">
        <v>34.94</v>
      </c>
      <c r="U183" s="233">
        <f t="shared" si="23"/>
        <v>19266.230228576824</v>
      </c>
      <c r="V183" s="233">
        <f t="shared" si="19"/>
        <v>28780.417995775249</v>
      </c>
      <c r="W183" s="233">
        <f t="shared" si="20"/>
        <v>35955.701270204067</v>
      </c>
      <c r="X183" s="233">
        <f t="shared" si="21"/>
        <v>44914.894750982596</v>
      </c>
      <c r="Y183" s="233">
        <f t="shared" si="22"/>
        <v>69255.358455398571</v>
      </c>
      <c r="Z183" s="58">
        <f t="shared" si="24"/>
        <v>24023.324112176037</v>
      </c>
      <c r="AA183" s="58">
        <f t="shared" si="25"/>
        <v>35955.701270204067</v>
      </c>
      <c r="AB183" s="58">
        <f t="shared" si="26"/>
        <v>69255.358455398571</v>
      </c>
    </row>
    <row r="184" spans="1:28">
      <c r="A184" s="52" t="s">
        <v>628</v>
      </c>
      <c r="B184" s="52" t="s">
        <v>629</v>
      </c>
      <c r="C184" s="52" t="s">
        <v>115</v>
      </c>
      <c r="D184" s="52" t="s">
        <v>121</v>
      </c>
      <c r="E184" s="225">
        <v>584960475767.32019</v>
      </c>
      <c r="F184" s="52">
        <v>2023</v>
      </c>
      <c r="G184" s="57" t="s">
        <v>1763</v>
      </c>
      <c r="H184" s="226">
        <v>52.258000000000003</v>
      </c>
      <c r="I184" s="52">
        <v>2024</v>
      </c>
      <c r="J184" s="228">
        <v>5775285</v>
      </c>
      <c r="K184" s="52">
        <v>2023</v>
      </c>
      <c r="L184" s="52" t="s">
        <v>1769</v>
      </c>
      <c r="M184" s="228">
        <v>10536632</v>
      </c>
      <c r="N184" s="52">
        <v>2023</v>
      </c>
      <c r="O184" s="44">
        <f t="shared" si="18"/>
        <v>0.54811490047294054</v>
      </c>
      <c r="P184" s="227">
        <v>8.2200000000000006</v>
      </c>
      <c r="Q184" s="227">
        <v>13.85</v>
      </c>
      <c r="R184" s="227">
        <v>17.39</v>
      </c>
      <c r="S184" s="227">
        <v>22.83</v>
      </c>
      <c r="T184" s="227">
        <v>37.71</v>
      </c>
      <c r="U184" s="233">
        <f t="shared" si="23"/>
        <v>21754.430001339471</v>
      </c>
      <c r="V184" s="233">
        <f t="shared" si="19"/>
        <v>36654.36198522526</v>
      </c>
      <c r="W184" s="233">
        <f t="shared" si="20"/>
        <v>46023.058117188979</v>
      </c>
      <c r="X184" s="233">
        <f t="shared" si="21"/>
        <v>60420.150478172756</v>
      </c>
      <c r="Y184" s="233">
        <f t="shared" si="22"/>
        <v>99800.432524393138</v>
      </c>
      <c r="Z184" s="58">
        <f t="shared" si="24"/>
        <v>29204.395993282364</v>
      </c>
      <c r="AA184" s="58">
        <f t="shared" si="25"/>
        <v>46023.058117188979</v>
      </c>
      <c r="AB184" s="58">
        <f t="shared" si="26"/>
        <v>99800.432524393138</v>
      </c>
    </row>
    <row r="185" spans="1:28">
      <c r="A185" s="52" t="s">
        <v>768</v>
      </c>
      <c r="B185" s="52" t="s">
        <v>627</v>
      </c>
      <c r="C185" s="52" t="s">
        <v>119</v>
      </c>
      <c r="D185" s="52" t="s">
        <v>325</v>
      </c>
      <c r="E185" s="225">
        <v>4442875788.0850515</v>
      </c>
      <c r="F185" s="52">
        <v>2023</v>
      </c>
      <c r="G185" s="57" t="s">
        <v>1763</v>
      </c>
      <c r="H185" s="226">
        <v>41.201000000000001</v>
      </c>
      <c r="I185" s="52">
        <v>2024</v>
      </c>
      <c r="J185" s="228">
        <v>392944</v>
      </c>
      <c r="K185" s="52">
        <v>2021</v>
      </c>
      <c r="L185" s="52" t="s">
        <v>1769</v>
      </c>
      <c r="M185" s="228">
        <v>1230506</v>
      </c>
      <c r="N185" s="52">
        <v>2023</v>
      </c>
      <c r="O185" s="44">
        <f t="shared" si="18"/>
        <v>0.31933529783682485</v>
      </c>
      <c r="P185" s="227">
        <v>1.35</v>
      </c>
      <c r="Q185" s="227">
        <v>4.6100000000000003</v>
      </c>
      <c r="R185" s="227">
        <v>8.7100000000000009</v>
      </c>
      <c r="S185" s="227">
        <v>16.61</v>
      </c>
      <c r="T185" s="227">
        <v>68.73</v>
      </c>
      <c r="U185" s="233">
        <f t="shared" si="23"/>
        <v>314.4452507426052</v>
      </c>
      <c r="V185" s="233">
        <f t="shared" si="19"/>
        <v>1073.7723006840072</v>
      </c>
      <c r="W185" s="233">
        <f t="shared" si="20"/>
        <v>2028.7541733096971</v>
      </c>
      <c r="X185" s="233">
        <f t="shared" si="21"/>
        <v>3868.8411961738311</v>
      </c>
      <c r="Y185" s="233">
        <f t="shared" si="22"/>
        <v>16008.757098917964</v>
      </c>
      <c r="Z185" s="58">
        <f t="shared" si="24"/>
        <v>694.10877571330616</v>
      </c>
      <c r="AA185" s="58">
        <f t="shared" si="25"/>
        <v>2028.7541733096971</v>
      </c>
      <c r="AB185" s="58">
        <f t="shared" si="26"/>
        <v>16008.757098917964</v>
      </c>
    </row>
    <row r="186" spans="1:28">
      <c r="A186" s="52" t="s">
        <v>769</v>
      </c>
      <c r="B186" s="52" t="s">
        <v>770</v>
      </c>
      <c r="C186" s="52" t="s">
        <v>116</v>
      </c>
      <c r="D186" s="52" t="s">
        <v>121</v>
      </c>
      <c r="E186" s="225">
        <v>1627776949.2737429</v>
      </c>
      <c r="F186" s="52">
        <v>2023</v>
      </c>
      <c r="G186" s="57" t="s">
        <v>1763</v>
      </c>
      <c r="H186" s="226">
        <v>50.6</v>
      </c>
      <c r="I186" s="52">
        <v>2024</v>
      </c>
      <c r="J186" s="228">
        <v>23200</v>
      </c>
      <c r="K186" s="52">
        <v>2008</v>
      </c>
      <c r="L186" s="57" t="s">
        <v>1770</v>
      </c>
      <c r="M186" s="228">
        <v>42749</v>
      </c>
      <c r="N186" s="52">
        <v>2023</v>
      </c>
      <c r="O186" s="44">
        <f t="shared" si="18"/>
        <v>0.54270275328077855</v>
      </c>
      <c r="P186" s="227">
        <v>4.05</v>
      </c>
      <c r="Q186" s="227">
        <v>8.52</v>
      </c>
      <c r="R186" s="227">
        <v>13.03</v>
      </c>
      <c r="S186" s="227">
        <v>20.2</v>
      </c>
      <c r="T186" s="227">
        <v>54.21</v>
      </c>
      <c r="U186" s="233">
        <f t="shared" si="23"/>
        <v>7189.2312546264693</v>
      </c>
      <c r="V186" s="233">
        <f t="shared" si="19"/>
        <v>15124.012417140124</v>
      </c>
      <c r="W186" s="233">
        <f t="shared" si="20"/>
        <v>23129.798332785896</v>
      </c>
      <c r="X186" s="233">
        <f t="shared" si="21"/>
        <v>35857.400331717196</v>
      </c>
      <c r="Y186" s="233">
        <f t="shared" si="22"/>
        <v>96229.191682296514</v>
      </c>
      <c r="Z186" s="58">
        <f t="shared" si="24"/>
        <v>11156.621835883296</v>
      </c>
      <c r="AA186" s="58">
        <f t="shared" si="25"/>
        <v>23129.798332785896</v>
      </c>
      <c r="AB186" s="58">
        <f t="shared" si="26"/>
        <v>96229.191682296514</v>
      </c>
    </row>
    <row r="187" spans="1:28">
      <c r="A187" s="52" t="s">
        <v>596</v>
      </c>
      <c r="B187" s="52" t="s">
        <v>597</v>
      </c>
      <c r="C187" s="52" t="s">
        <v>119</v>
      </c>
      <c r="D187" s="52" t="s">
        <v>121</v>
      </c>
      <c r="E187" s="225">
        <v>2141450171.1393213</v>
      </c>
      <c r="F187" s="52">
        <v>2023</v>
      </c>
      <c r="G187" s="57" t="s">
        <v>1763</v>
      </c>
      <c r="H187" s="226">
        <v>53.8</v>
      </c>
      <c r="I187" s="52">
        <v>2024</v>
      </c>
      <c r="J187" s="228">
        <v>104503</v>
      </c>
      <c r="K187" s="52">
        <v>2023</v>
      </c>
      <c r="L187" s="52" t="s">
        <v>1769</v>
      </c>
      <c r="M187" s="228">
        <v>119773</v>
      </c>
      <c r="N187" s="52">
        <v>2023</v>
      </c>
      <c r="O187" s="44">
        <f t="shared" si="18"/>
        <v>0.87250882920190698</v>
      </c>
      <c r="P187" s="227">
        <v>7.04</v>
      </c>
      <c r="Q187" s="227">
        <v>12.64</v>
      </c>
      <c r="R187" s="227">
        <v>17.61</v>
      </c>
      <c r="S187" s="227">
        <v>23.61</v>
      </c>
      <c r="T187" s="227">
        <v>39.1</v>
      </c>
      <c r="U187" s="233">
        <f t="shared" si="23"/>
        <v>3880.6471355815625</v>
      </c>
      <c r="V187" s="233">
        <f t="shared" si="19"/>
        <v>6967.5255388850783</v>
      </c>
      <c r="W187" s="233">
        <f t="shared" si="20"/>
        <v>9707.1301218169483</v>
      </c>
      <c r="X187" s="233">
        <f t="shared" si="21"/>
        <v>13014.499839642143</v>
      </c>
      <c r="Y187" s="233">
        <f t="shared" si="22"/>
        <v>21553.02599449419</v>
      </c>
      <c r="Z187" s="58">
        <f t="shared" si="24"/>
        <v>5424.0863372333206</v>
      </c>
      <c r="AA187" s="58">
        <f t="shared" si="25"/>
        <v>9707.1301218169483</v>
      </c>
      <c r="AB187" s="58">
        <f t="shared" si="26"/>
        <v>21553.02599449419</v>
      </c>
    </row>
    <row r="188" spans="1:28">
      <c r="A188" s="52" t="s">
        <v>632</v>
      </c>
      <c r="B188" s="52" t="s">
        <v>633</v>
      </c>
      <c r="C188" s="52" t="s">
        <v>117</v>
      </c>
      <c r="D188" s="52" t="s">
        <v>319</v>
      </c>
      <c r="E188" s="225">
        <v>23622827079.50465</v>
      </c>
      <c r="F188" s="52">
        <v>2022</v>
      </c>
      <c r="G188" s="57" t="s">
        <v>1763</v>
      </c>
      <c r="H188" s="226">
        <v>34.125999999999998</v>
      </c>
      <c r="I188" s="52">
        <v>2024</v>
      </c>
      <c r="J188" s="228">
        <v>6354000</v>
      </c>
      <c r="K188" s="52">
        <v>2023</v>
      </c>
      <c r="L188" s="52" t="s">
        <v>1770</v>
      </c>
      <c r="M188" s="228">
        <v>23594623</v>
      </c>
      <c r="N188" s="52">
        <v>2023</v>
      </c>
      <c r="O188" s="44">
        <f t="shared" si="18"/>
        <v>0.26929864486497623</v>
      </c>
      <c r="P188" s="227">
        <v>7.42</v>
      </c>
      <c r="Q188" s="227">
        <v>11.72</v>
      </c>
      <c r="R188" s="227">
        <v>15.83</v>
      </c>
      <c r="S188" s="227">
        <v>21.94</v>
      </c>
      <c r="T188" s="227">
        <v>43.1</v>
      </c>
      <c r="U188" s="233">
        <f t="shared" si="23"/>
        <v>470.69973789035282</v>
      </c>
      <c r="V188" s="233">
        <f t="shared" si="19"/>
        <v>743.47721402627144</v>
      </c>
      <c r="W188" s="233">
        <f t="shared" si="20"/>
        <v>1004.2017319143239</v>
      </c>
      <c r="X188" s="233">
        <f t="shared" si="21"/>
        <v>1391.7994945167575</v>
      </c>
      <c r="Y188" s="233">
        <f t="shared" si="22"/>
        <v>2734.1184235949063</v>
      </c>
      <c r="Z188" s="58">
        <f t="shared" si="24"/>
        <v>607.08847595831207</v>
      </c>
      <c r="AA188" s="58">
        <f t="shared" si="25"/>
        <v>1004.2017319143239</v>
      </c>
      <c r="AB188" s="58">
        <f t="shared" si="26"/>
        <v>2734.1184235949063</v>
      </c>
    </row>
    <row r="189" spans="1:28">
      <c r="A189" s="52" t="s">
        <v>771</v>
      </c>
      <c r="B189" s="52" t="s">
        <v>772</v>
      </c>
      <c r="C189" s="52" t="s">
        <v>116</v>
      </c>
      <c r="D189" s="52" t="s">
        <v>121</v>
      </c>
      <c r="E189" s="225">
        <v>1402054390.94734</v>
      </c>
      <c r="F189" s="52">
        <v>2023</v>
      </c>
      <c r="G189" s="57" t="s">
        <v>1763</v>
      </c>
      <c r="H189" s="226">
        <v>50.6</v>
      </c>
      <c r="I189" s="52">
        <v>2024</v>
      </c>
      <c r="J189" s="228">
        <v>4848</v>
      </c>
      <c r="K189" s="52">
        <v>1990</v>
      </c>
      <c r="L189" s="57" t="s">
        <v>1770</v>
      </c>
      <c r="M189" s="228">
        <v>46198</v>
      </c>
      <c r="N189" s="52">
        <v>2023</v>
      </c>
      <c r="O189" s="44">
        <f t="shared" si="18"/>
        <v>0.10493960777522837</v>
      </c>
      <c r="P189" s="227">
        <v>4.05</v>
      </c>
      <c r="Q189" s="227">
        <v>8.52</v>
      </c>
      <c r="R189" s="227">
        <v>13.03</v>
      </c>
      <c r="S189" s="227">
        <v>20.2</v>
      </c>
      <c r="T189" s="227">
        <v>54.21</v>
      </c>
      <c r="U189" s="233">
        <f t="shared" si="23"/>
        <v>29633.148343320794</v>
      </c>
      <c r="V189" s="233">
        <f t="shared" si="19"/>
        <v>62339.363922245218</v>
      </c>
      <c r="W189" s="233">
        <f t="shared" si="20"/>
        <v>95338.252571227131</v>
      </c>
      <c r="X189" s="233">
        <f t="shared" si="21"/>
        <v>147799.90037903207</v>
      </c>
      <c r="Y189" s="233">
        <f t="shared" si="22"/>
        <v>396645.17819541239</v>
      </c>
      <c r="Z189" s="58">
        <f t="shared" si="24"/>
        <v>45986.256132783004</v>
      </c>
      <c r="AA189" s="58">
        <f t="shared" si="25"/>
        <v>95338.252571227131</v>
      </c>
      <c r="AB189" s="58">
        <f t="shared" si="26"/>
        <v>396645.17819541239</v>
      </c>
    </row>
    <row r="190" spans="1:28">
      <c r="A190" s="52" t="s">
        <v>382</v>
      </c>
      <c r="B190" s="52" t="s">
        <v>383</v>
      </c>
      <c r="C190" s="52" t="s">
        <v>119</v>
      </c>
      <c r="D190" s="52" t="s">
        <v>319</v>
      </c>
      <c r="E190" s="225">
        <v>13149325362.334669</v>
      </c>
      <c r="F190" s="52">
        <v>2023</v>
      </c>
      <c r="G190" s="57" t="s">
        <v>1763</v>
      </c>
      <c r="H190" s="226">
        <v>40.770000000000003</v>
      </c>
      <c r="I190" s="52">
        <v>2024</v>
      </c>
      <c r="J190" s="228">
        <v>4346263</v>
      </c>
      <c r="K190" s="52">
        <v>2018</v>
      </c>
      <c r="L190" s="52" t="s">
        <v>1769</v>
      </c>
      <c r="M190" s="228">
        <v>19319064</v>
      </c>
      <c r="N190" s="52">
        <v>2023</v>
      </c>
      <c r="O190" s="44">
        <f t="shared" si="18"/>
        <v>0.22497275230311364</v>
      </c>
      <c r="P190" s="227">
        <v>3.88</v>
      </c>
      <c r="Q190" s="227">
        <v>7.53</v>
      </c>
      <c r="R190" s="227">
        <v>11.64</v>
      </c>
      <c r="S190" s="227">
        <v>19.27</v>
      </c>
      <c r="T190" s="227">
        <v>57.68</v>
      </c>
      <c r="U190" s="233">
        <f t="shared" si="23"/>
        <v>239.29295358873262</v>
      </c>
      <c r="V190" s="233">
        <f t="shared" si="19"/>
        <v>464.40101559875166</v>
      </c>
      <c r="W190" s="233">
        <f t="shared" si="20"/>
        <v>717.87886076619782</v>
      </c>
      <c r="X190" s="233">
        <f t="shared" si="21"/>
        <v>1188.4472205296074</v>
      </c>
      <c r="Y190" s="233">
        <f t="shared" si="22"/>
        <v>3557.3241141747671</v>
      </c>
      <c r="Z190" s="58">
        <f t="shared" si="24"/>
        <v>351.84698459374215</v>
      </c>
      <c r="AA190" s="58">
        <f t="shared" si="25"/>
        <v>717.87886076619782</v>
      </c>
      <c r="AB190" s="58">
        <f t="shared" si="26"/>
        <v>3557.3241141747671</v>
      </c>
    </row>
    <row r="191" spans="1:28">
      <c r="A191" s="52" t="s">
        <v>644</v>
      </c>
      <c r="B191" s="52" t="s">
        <v>645</v>
      </c>
      <c r="C191" s="52" t="s">
        <v>119</v>
      </c>
      <c r="D191" s="52" t="s">
        <v>319</v>
      </c>
      <c r="E191" s="225">
        <v>9171261837.5710297</v>
      </c>
      <c r="F191" s="52">
        <v>2023</v>
      </c>
      <c r="G191" s="57" t="s">
        <v>1763</v>
      </c>
      <c r="H191" s="226">
        <v>36.228000000000002</v>
      </c>
      <c r="I191" s="52">
        <v>2024</v>
      </c>
      <c r="J191" s="228">
        <v>3431620</v>
      </c>
      <c r="K191" s="52">
        <v>2022</v>
      </c>
      <c r="L191" s="52" t="s">
        <v>1769</v>
      </c>
      <c r="M191" s="228">
        <v>9304337</v>
      </c>
      <c r="N191" s="52">
        <v>2023</v>
      </c>
      <c r="O191" s="44">
        <f t="shared" si="18"/>
        <v>0.36881940110294803</v>
      </c>
      <c r="P191" s="227">
        <v>2.91</v>
      </c>
      <c r="Q191" s="227">
        <v>6.7</v>
      </c>
      <c r="R191" s="227">
        <v>10.97</v>
      </c>
      <c r="S191" s="227">
        <v>19.05</v>
      </c>
      <c r="T191" s="227">
        <v>60.38</v>
      </c>
      <c r="U191" s="233">
        <f t="shared" si="23"/>
        <v>140.87607877736065</v>
      </c>
      <c r="V191" s="233">
        <f t="shared" si="19"/>
        <v>324.35385835337337</v>
      </c>
      <c r="W191" s="233">
        <f t="shared" si="20"/>
        <v>531.06892927410536</v>
      </c>
      <c r="X191" s="233">
        <f t="shared" si="21"/>
        <v>922.23000024354644</v>
      </c>
      <c r="Y191" s="233">
        <f t="shared" si="22"/>
        <v>2923.0576070711463</v>
      </c>
      <c r="Z191" s="58">
        <f t="shared" si="24"/>
        <v>232.61496856536701</v>
      </c>
      <c r="AA191" s="58">
        <f t="shared" si="25"/>
        <v>531.06892927410536</v>
      </c>
      <c r="AB191" s="58">
        <f t="shared" si="26"/>
        <v>2923.0576070711463</v>
      </c>
    </row>
    <row r="192" spans="1:28">
      <c r="A192" s="52" t="s">
        <v>640</v>
      </c>
      <c r="B192" s="52" t="s">
        <v>641</v>
      </c>
      <c r="C192" s="52" t="s">
        <v>114</v>
      </c>
      <c r="D192" s="52" t="s">
        <v>322</v>
      </c>
      <c r="E192" s="225">
        <v>514968699239.00476</v>
      </c>
      <c r="F192" s="52">
        <v>2023</v>
      </c>
      <c r="G192" s="57" t="s">
        <v>1763</v>
      </c>
      <c r="H192" s="226">
        <v>45.594000000000001</v>
      </c>
      <c r="I192" s="52">
        <v>2024</v>
      </c>
      <c r="J192" s="228">
        <v>40206715</v>
      </c>
      <c r="K192" s="52">
        <v>2023</v>
      </c>
      <c r="L192" s="52" t="s">
        <v>1769</v>
      </c>
      <c r="M192" s="228">
        <v>71702435</v>
      </c>
      <c r="N192" s="52">
        <v>2023</v>
      </c>
      <c r="O192" s="44">
        <f t="shared" si="18"/>
        <v>0.56074406678099564</v>
      </c>
      <c r="P192" s="227">
        <v>6.44</v>
      </c>
      <c r="Q192" s="227">
        <v>10.88</v>
      </c>
      <c r="R192" s="227">
        <v>15.93</v>
      </c>
      <c r="S192" s="227">
        <v>23.01</v>
      </c>
      <c r="T192" s="227">
        <v>43.74</v>
      </c>
      <c r="U192" s="233">
        <f t="shared" si="23"/>
        <v>1880.3807983664483</v>
      </c>
      <c r="V192" s="233">
        <f t="shared" si="19"/>
        <v>3176.7924046936268</v>
      </c>
      <c r="W192" s="233">
        <f t="shared" si="20"/>
        <v>4651.3146145927831</v>
      </c>
      <c r="X192" s="233">
        <f t="shared" si="21"/>
        <v>6718.5655544117981</v>
      </c>
      <c r="Y192" s="233">
        <f t="shared" si="22"/>
        <v>12771.406229898826</v>
      </c>
      <c r="Z192" s="58">
        <f t="shared" si="24"/>
        <v>2528.5866015300376</v>
      </c>
      <c r="AA192" s="58">
        <f t="shared" si="25"/>
        <v>4651.3146145927831</v>
      </c>
      <c r="AB192" s="58">
        <f t="shared" si="26"/>
        <v>12771.406229898826</v>
      </c>
    </row>
    <row r="193" spans="1:28">
      <c r="A193" s="52" t="s">
        <v>636</v>
      </c>
      <c r="B193" s="52" t="s">
        <v>637</v>
      </c>
      <c r="C193" s="52" t="s">
        <v>115</v>
      </c>
      <c r="D193" s="52" t="s">
        <v>325</v>
      </c>
      <c r="E193" s="225">
        <v>12060602008.847782</v>
      </c>
      <c r="F193" s="52">
        <v>2023</v>
      </c>
      <c r="G193" s="57" t="s">
        <v>1763</v>
      </c>
      <c r="H193" s="226">
        <v>19.986999999999998</v>
      </c>
      <c r="I193" s="52">
        <v>2024</v>
      </c>
      <c r="J193" s="228">
        <v>2268572</v>
      </c>
      <c r="K193" s="52">
        <v>2016</v>
      </c>
      <c r="L193" s="52" t="s">
        <v>1769</v>
      </c>
      <c r="M193" s="228">
        <v>10389799</v>
      </c>
      <c r="N193" s="52">
        <v>2023</v>
      </c>
      <c r="O193" s="44">
        <f t="shared" si="18"/>
        <v>0.21834609119964687</v>
      </c>
      <c r="P193" s="227">
        <v>6.41</v>
      </c>
      <c r="Q193" s="227">
        <v>11.66</v>
      </c>
      <c r="R193" s="227">
        <v>16.39</v>
      </c>
      <c r="S193" s="227">
        <v>22.85</v>
      </c>
      <c r="T193" s="227">
        <v>42.69</v>
      </c>
      <c r="U193" s="233">
        <f t="shared" si="23"/>
        <v>340.55876727053146</v>
      </c>
      <c r="V193" s="233">
        <f t="shared" si="19"/>
        <v>619.48755481659862</v>
      </c>
      <c r="W193" s="233">
        <f t="shared" si="20"/>
        <v>870.78911007238867</v>
      </c>
      <c r="X193" s="233">
        <f t="shared" si="21"/>
        <v>1214.0043419862161</v>
      </c>
      <c r="Y193" s="233">
        <f t="shared" si="22"/>
        <v>2268.0895124460199</v>
      </c>
      <c r="Z193" s="58">
        <f t="shared" si="24"/>
        <v>480.02316104356504</v>
      </c>
      <c r="AA193" s="58">
        <f t="shared" si="25"/>
        <v>870.78911007238867</v>
      </c>
      <c r="AB193" s="58">
        <f t="shared" si="26"/>
        <v>2268.0895124460199</v>
      </c>
    </row>
    <row r="194" spans="1:28">
      <c r="A194" s="52" t="s">
        <v>654</v>
      </c>
      <c r="B194" s="52" t="s">
        <v>655</v>
      </c>
      <c r="C194" s="52" t="s">
        <v>115</v>
      </c>
      <c r="D194" s="52" t="s">
        <v>322</v>
      </c>
      <c r="E194" s="225">
        <v>60628857142.85714</v>
      </c>
      <c r="F194" s="52">
        <v>2023</v>
      </c>
      <c r="G194" s="57" t="s">
        <v>1763</v>
      </c>
      <c r="H194" s="226">
        <v>47.585000000000001</v>
      </c>
      <c r="I194" s="52">
        <v>2024</v>
      </c>
      <c r="J194" s="228">
        <v>2419000</v>
      </c>
      <c r="K194" s="52">
        <v>2023</v>
      </c>
      <c r="L194" s="52" t="s">
        <v>1770</v>
      </c>
      <c r="M194" s="228">
        <v>7364438</v>
      </c>
      <c r="N194" s="52">
        <v>2023</v>
      </c>
      <c r="O194" s="44">
        <f t="shared" ref="O194:O219" si="27">J194/M194</f>
        <v>0.32847041417145478</v>
      </c>
      <c r="P194" s="227">
        <v>5.39</v>
      </c>
      <c r="Q194" s="227">
        <v>10.39</v>
      </c>
      <c r="R194" s="227">
        <v>15.04</v>
      </c>
      <c r="S194" s="227">
        <v>22.19</v>
      </c>
      <c r="T194" s="227">
        <v>46.99</v>
      </c>
      <c r="U194" s="233">
        <f t="shared" si="23"/>
        <v>3214.1960026663905</v>
      </c>
      <c r="V194" s="233">
        <f t="shared" ref="V194:V219" si="28">(Q194/100)*$E194*($H194/100)/($J194*0.2)</f>
        <v>6195.824947625938</v>
      </c>
      <c r="W194" s="233">
        <f t="shared" ref="W194:W219" si="29">(R194/100)*$E194*($H194/100)/($J194*0.2)</f>
        <v>8968.7398664383145</v>
      </c>
      <c r="X194" s="233">
        <f t="shared" ref="X194:X219" si="30">(S194/100)*$E194*($H194/100)/($J194*0.2)</f>
        <v>13232.469257730469</v>
      </c>
      <c r="Y194" s="233">
        <f t="shared" ref="Y194:Y219" si="31">(T194/100)*$E194*($H194/100)/($J194*0.2)</f>
        <v>28021.348824729819</v>
      </c>
      <c r="Z194" s="58">
        <f t="shared" si="24"/>
        <v>4705.010475146164</v>
      </c>
      <c r="AA194" s="58">
        <f t="shared" si="25"/>
        <v>8968.7398664383145</v>
      </c>
      <c r="AB194" s="58">
        <f t="shared" si="26"/>
        <v>28021.348824729819</v>
      </c>
    </row>
    <row r="195" spans="1:28">
      <c r="A195" s="52" t="s">
        <v>642</v>
      </c>
      <c r="B195" s="52" t="s">
        <v>643</v>
      </c>
      <c r="C195" s="52" t="s">
        <v>114</v>
      </c>
      <c r="D195" s="52" t="s">
        <v>325</v>
      </c>
      <c r="E195" s="225">
        <v>2079916900.0000002</v>
      </c>
      <c r="F195" s="52">
        <v>2023</v>
      </c>
      <c r="G195" s="57" t="s">
        <v>1763</v>
      </c>
      <c r="H195" s="226">
        <v>31.542000000000002</v>
      </c>
      <c r="I195" s="52">
        <v>2024</v>
      </c>
      <c r="J195" s="228">
        <v>408363</v>
      </c>
      <c r="K195" s="52">
        <v>2022</v>
      </c>
      <c r="L195" s="52" t="s">
        <v>1769</v>
      </c>
      <c r="M195" s="228">
        <v>1384286</v>
      </c>
      <c r="N195" s="52">
        <v>2023</v>
      </c>
      <c r="O195" s="44">
        <f t="shared" si="27"/>
        <v>0.29499901032012171</v>
      </c>
      <c r="P195" s="227">
        <v>8.41</v>
      </c>
      <c r="Q195" s="227">
        <v>12.24</v>
      </c>
      <c r="R195" s="227">
        <v>16.05</v>
      </c>
      <c r="S195" s="227">
        <v>21.33</v>
      </c>
      <c r="T195" s="227">
        <v>41.97</v>
      </c>
      <c r="U195" s="233">
        <f t="shared" ref="U195:U219" si="32">(P195/100)*$E195*($H195/100)/($J195*0.2)</f>
        <v>675.54584256031796</v>
      </c>
      <c r="V195" s="233">
        <f t="shared" si="28"/>
        <v>983.19632734105721</v>
      </c>
      <c r="W195" s="233">
        <f t="shared" si="29"/>
        <v>1289.2402821751605</v>
      </c>
      <c r="X195" s="233">
        <f t="shared" si="30"/>
        <v>1713.3641880869889</v>
      </c>
      <c r="Y195" s="233">
        <f t="shared" si="31"/>
        <v>3371.3030930150453</v>
      </c>
      <c r="Z195" s="58">
        <f t="shared" ref="Z195:Z219" si="33">AVERAGE(U195:V195)</f>
        <v>829.37108495068765</v>
      </c>
      <c r="AA195" s="58">
        <f t="shared" ref="AA195:AA219" si="34">W195</f>
        <v>1289.2402821751605</v>
      </c>
      <c r="AB195" s="58">
        <f t="shared" ref="AB195:AB219" si="35">Y195</f>
        <v>3371.3030930150453</v>
      </c>
    </row>
    <row r="196" spans="1:28">
      <c r="A196" s="52" t="s">
        <v>646</v>
      </c>
      <c r="B196" s="52" t="s">
        <v>647</v>
      </c>
      <c r="C196" s="52" t="s">
        <v>114</v>
      </c>
      <c r="D196" s="52" t="s">
        <v>322</v>
      </c>
      <c r="E196" s="225">
        <v>518180042.24150884</v>
      </c>
      <c r="F196" s="52">
        <v>2022</v>
      </c>
      <c r="G196" s="57" t="s">
        <v>1763</v>
      </c>
      <c r="H196" s="226">
        <v>43.048999999999999</v>
      </c>
      <c r="I196" s="52">
        <v>2024</v>
      </c>
      <c r="J196" s="228">
        <v>33662</v>
      </c>
      <c r="K196" s="52">
        <v>2023</v>
      </c>
      <c r="L196" s="52" t="s">
        <v>1769</v>
      </c>
      <c r="M196" s="228">
        <v>104597</v>
      </c>
      <c r="N196" s="52">
        <v>2023</v>
      </c>
      <c r="O196" s="44">
        <f t="shared" si="27"/>
        <v>0.32182567377649457</v>
      </c>
      <c r="P196" s="227">
        <v>5.94</v>
      </c>
      <c r="Q196" s="227">
        <v>10.8</v>
      </c>
      <c r="R196" s="227">
        <v>15.5</v>
      </c>
      <c r="S196" s="227">
        <v>22.08</v>
      </c>
      <c r="T196" s="227">
        <v>45.68</v>
      </c>
      <c r="U196" s="233">
        <f t="shared" si="32"/>
        <v>1968.1594657539806</v>
      </c>
      <c r="V196" s="233">
        <f t="shared" si="28"/>
        <v>3578.4717559163287</v>
      </c>
      <c r="W196" s="233">
        <f t="shared" si="29"/>
        <v>5135.7696496947301</v>
      </c>
      <c r="X196" s="233">
        <f t="shared" si="30"/>
        <v>7315.986700984492</v>
      </c>
      <c r="Y196" s="233">
        <f t="shared" si="31"/>
        <v>15135.610167616471</v>
      </c>
      <c r="Z196" s="58">
        <f t="shared" si="33"/>
        <v>2773.3156108351545</v>
      </c>
      <c r="AA196" s="58">
        <f t="shared" si="34"/>
        <v>5135.7696496947301</v>
      </c>
      <c r="AB196" s="58">
        <f t="shared" si="35"/>
        <v>15135.610167616471</v>
      </c>
    </row>
    <row r="197" spans="1:28">
      <c r="A197" s="52" t="s">
        <v>648</v>
      </c>
      <c r="B197" s="52" t="s">
        <v>649</v>
      </c>
      <c r="C197" s="52" t="s">
        <v>116</v>
      </c>
      <c r="D197" s="52" t="s">
        <v>121</v>
      </c>
      <c r="E197" s="225">
        <v>27372285697.947723</v>
      </c>
      <c r="F197" s="52">
        <v>2023</v>
      </c>
      <c r="G197" s="57" t="s">
        <v>1763</v>
      </c>
      <c r="H197" s="226">
        <v>44.72</v>
      </c>
      <c r="I197" s="52">
        <v>2024</v>
      </c>
      <c r="J197" s="228">
        <v>598150</v>
      </c>
      <c r="K197" s="52">
        <v>2023</v>
      </c>
      <c r="L197" s="52" t="s">
        <v>1769</v>
      </c>
      <c r="M197" s="228">
        <v>1367510</v>
      </c>
      <c r="N197" s="52">
        <v>2023</v>
      </c>
      <c r="O197" s="44">
        <f t="shared" si="27"/>
        <v>0.43740082339434444</v>
      </c>
      <c r="P197" s="227">
        <v>5.5</v>
      </c>
      <c r="Q197" s="227">
        <v>10.34</v>
      </c>
      <c r="R197" s="227">
        <v>15.53</v>
      </c>
      <c r="S197" s="227">
        <v>22.73</v>
      </c>
      <c r="T197" s="227">
        <v>45.9</v>
      </c>
      <c r="U197" s="233">
        <f t="shared" si="32"/>
        <v>5627.7584136648184</v>
      </c>
      <c r="V197" s="233">
        <f t="shared" si="28"/>
        <v>10580.185817689857</v>
      </c>
      <c r="W197" s="233">
        <f t="shared" si="29"/>
        <v>15890.743302584475</v>
      </c>
      <c r="X197" s="233">
        <f t="shared" si="30"/>
        <v>23257.990680472965</v>
      </c>
      <c r="Y197" s="233">
        <f t="shared" si="31"/>
        <v>46966.20203403911</v>
      </c>
      <c r="Z197" s="58">
        <f t="shared" si="33"/>
        <v>8103.9721156773376</v>
      </c>
      <c r="AA197" s="58">
        <f t="shared" si="34"/>
        <v>15890.743302584475</v>
      </c>
      <c r="AB197" s="58">
        <f t="shared" si="35"/>
        <v>46966.20203403911</v>
      </c>
    </row>
    <row r="198" spans="1:28">
      <c r="A198" s="52" t="s">
        <v>650</v>
      </c>
      <c r="B198" s="52" t="s">
        <v>651</v>
      </c>
      <c r="C198" s="52" t="s">
        <v>117</v>
      </c>
      <c r="D198" s="52" t="s">
        <v>325</v>
      </c>
      <c r="E198" s="225">
        <v>48529595416.653259</v>
      </c>
      <c r="F198" s="52">
        <v>2023</v>
      </c>
      <c r="G198" s="57" t="s">
        <v>1763</v>
      </c>
      <c r="H198" s="226">
        <v>44.811999999999998</v>
      </c>
      <c r="I198" s="52">
        <v>2024</v>
      </c>
      <c r="J198" s="228">
        <v>4032730</v>
      </c>
      <c r="K198" s="52">
        <v>2023</v>
      </c>
      <c r="L198" s="52" t="s">
        <v>1769</v>
      </c>
      <c r="M198" s="228">
        <v>12200431</v>
      </c>
      <c r="N198" s="52">
        <v>2023</v>
      </c>
      <c r="O198" s="44">
        <f t="shared" si="27"/>
        <v>0.33053996207183173</v>
      </c>
      <c r="P198" s="227">
        <v>6.16</v>
      </c>
      <c r="Q198" s="227">
        <v>10.62</v>
      </c>
      <c r="R198" s="227">
        <v>15.2</v>
      </c>
      <c r="S198" s="227">
        <v>22</v>
      </c>
      <c r="T198" s="227">
        <v>46.02</v>
      </c>
      <c r="U198" s="233">
        <f t="shared" si="32"/>
        <v>1660.9347384570954</v>
      </c>
      <c r="V198" s="233">
        <f t="shared" si="28"/>
        <v>2863.4946302620701</v>
      </c>
      <c r="W198" s="233">
        <f t="shared" si="29"/>
        <v>4098.4103935954299</v>
      </c>
      <c r="X198" s="233">
        <f t="shared" si="30"/>
        <v>5931.9097802039123</v>
      </c>
      <c r="Y198" s="233">
        <f t="shared" si="31"/>
        <v>12408.476731135639</v>
      </c>
      <c r="Z198" s="58">
        <f t="shared" si="33"/>
        <v>2262.2146843595829</v>
      </c>
      <c r="AA198" s="58">
        <f t="shared" si="34"/>
        <v>4098.4103935954299</v>
      </c>
      <c r="AB198" s="58">
        <f t="shared" si="35"/>
        <v>12408.476731135639</v>
      </c>
    </row>
    <row r="199" spans="1:28">
      <c r="A199" s="52" t="s">
        <v>774</v>
      </c>
      <c r="B199" s="52" t="s">
        <v>653</v>
      </c>
      <c r="C199" s="52" t="s">
        <v>115</v>
      </c>
      <c r="D199" s="52" t="s">
        <v>322</v>
      </c>
      <c r="E199" s="225">
        <v>1118252964260.7729</v>
      </c>
      <c r="F199" s="52">
        <v>2023</v>
      </c>
      <c r="G199" s="57" t="s">
        <v>1763</v>
      </c>
      <c r="H199" s="226">
        <v>35.808999999999997</v>
      </c>
      <c r="I199" s="52">
        <v>2024</v>
      </c>
      <c r="J199" s="228">
        <v>34879762</v>
      </c>
      <c r="K199" s="52">
        <v>2023</v>
      </c>
      <c r="L199" s="52" t="s">
        <v>1769</v>
      </c>
      <c r="M199" s="228">
        <v>85325965</v>
      </c>
      <c r="N199" s="52">
        <v>2023</v>
      </c>
      <c r="O199" s="44">
        <f t="shared" si="27"/>
        <v>0.40878250834901192</v>
      </c>
      <c r="P199" s="227">
        <v>5.0999999999999996</v>
      </c>
      <c r="Q199" s="227">
        <v>9.68</v>
      </c>
      <c r="R199" s="227">
        <v>14.02</v>
      </c>
      <c r="S199" s="227">
        <v>20.62</v>
      </c>
      <c r="T199" s="227">
        <v>50.59</v>
      </c>
      <c r="U199" s="233">
        <f t="shared" si="32"/>
        <v>2927.5135826011579</v>
      </c>
      <c r="V199" s="233">
        <f t="shared" si="28"/>
        <v>5556.5355842312174</v>
      </c>
      <c r="W199" s="233">
        <f t="shared" si="29"/>
        <v>8047.7922407976921</v>
      </c>
      <c r="X199" s="233">
        <f t="shared" si="30"/>
        <v>11836.339230046253</v>
      </c>
      <c r="Y199" s="233">
        <f t="shared" si="31"/>
        <v>29039.78669486129</v>
      </c>
      <c r="Z199" s="58">
        <f t="shared" si="33"/>
        <v>4242.0245834161879</v>
      </c>
      <c r="AA199" s="58">
        <f t="shared" si="34"/>
        <v>8047.7922407976921</v>
      </c>
      <c r="AB199" s="58">
        <f t="shared" si="35"/>
        <v>29039.78669486129</v>
      </c>
    </row>
    <row r="200" spans="1:28">
      <c r="A200" s="52" t="s">
        <v>775</v>
      </c>
      <c r="B200" s="52" t="s">
        <v>776</v>
      </c>
      <c r="C200" s="52" t="s">
        <v>114</v>
      </c>
      <c r="D200" s="52" t="s">
        <v>322</v>
      </c>
      <c r="E200" s="225">
        <v>62280311.585217156</v>
      </c>
      <c r="F200" s="52">
        <v>2023</v>
      </c>
      <c r="G200" s="57" t="s">
        <v>1763</v>
      </c>
      <c r="H200" s="226">
        <v>43.9</v>
      </c>
      <c r="I200" s="52">
        <v>2024</v>
      </c>
      <c r="J200" s="228">
        <v>3184</v>
      </c>
      <c r="K200" s="52">
        <v>2022</v>
      </c>
      <c r="L200" s="52" t="s">
        <v>1769</v>
      </c>
      <c r="M200" s="228">
        <v>9816</v>
      </c>
      <c r="N200" s="52">
        <v>2023</v>
      </c>
      <c r="O200" s="44">
        <f t="shared" si="27"/>
        <v>0.32436837815810921</v>
      </c>
      <c r="P200" s="227">
        <v>5.74</v>
      </c>
      <c r="Q200" s="227">
        <v>10.41</v>
      </c>
      <c r="R200" s="227">
        <v>15.28</v>
      </c>
      <c r="S200" s="227">
        <v>22.12</v>
      </c>
      <c r="T200" s="227">
        <v>46.45</v>
      </c>
      <c r="U200" s="233">
        <f t="shared" si="32"/>
        <v>2464.473397473701</v>
      </c>
      <c r="V200" s="233">
        <f t="shared" si="28"/>
        <v>4469.5414752092729</v>
      </c>
      <c r="W200" s="233">
        <f t="shared" si="29"/>
        <v>6560.4797061669251</v>
      </c>
      <c r="X200" s="233">
        <f t="shared" si="30"/>
        <v>9497.2389463620693</v>
      </c>
      <c r="Y200" s="233">
        <f t="shared" si="31"/>
        <v>19943.343085828124</v>
      </c>
      <c r="Z200" s="58">
        <f t="shared" si="33"/>
        <v>3467.0074363414869</v>
      </c>
      <c r="AA200" s="58">
        <f t="shared" si="34"/>
        <v>6560.4797061669251</v>
      </c>
      <c r="AB200" s="58">
        <f t="shared" si="35"/>
        <v>19943.343085828124</v>
      </c>
    </row>
    <row r="201" spans="1:28">
      <c r="A201" s="52" t="s">
        <v>777</v>
      </c>
      <c r="B201" s="52" t="s">
        <v>635</v>
      </c>
      <c r="C201" s="52" t="s">
        <v>114</v>
      </c>
      <c r="D201" s="52" t="s">
        <v>121</v>
      </c>
      <c r="E201" s="225">
        <f>756.59*1000000000</f>
        <v>756590000000</v>
      </c>
      <c r="F201" s="52">
        <v>2023</v>
      </c>
      <c r="G201" s="52" t="s">
        <v>1761</v>
      </c>
      <c r="H201" s="226">
        <v>51.761000000000003</v>
      </c>
      <c r="I201" s="52">
        <v>2024</v>
      </c>
      <c r="J201" s="228">
        <v>11964000</v>
      </c>
      <c r="K201" s="52">
        <v>2020</v>
      </c>
      <c r="L201" s="52" t="s">
        <v>1769</v>
      </c>
      <c r="M201" s="228">
        <v>23317145</v>
      </c>
      <c r="N201" s="52">
        <v>2023</v>
      </c>
      <c r="O201" s="44">
        <f t="shared" si="27"/>
        <v>0.51309883778653009</v>
      </c>
      <c r="P201" s="227">
        <v>8.27</v>
      </c>
      <c r="Q201" s="227">
        <v>12.73</v>
      </c>
      <c r="R201" s="227">
        <v>16.690000000000001</v>
      </c>
      <c r="S201" s="227">
        <v>22.21</v>
      </c>
      <c r="T201" s="227">
        <v>40.11</v>
      </c>
      <c r="U201" s="233">
        <f t="shared" si="32"/>
        <v>13535.127915717987</v>
      </c>
      <c r="V201" s="233">
        <f t="shared" si="28"/>
        <v>20834.604397471583</v>
      </c>
      <c r="W201" s="233">
        <f t="shared" si="29"/>
        <v>27315.753919387334</v>
      </c>
      <c r="X201" s="233">
        <f t="shared" si="30"/>
        <v>36350.08355599716</v>
      </c>
      <c r="Y201" s="233">
        <f t="shared" si="31"/>
        <v>65646.188718192076</v>
      </c>
      <c r="Z201" s="58">
        <f t="shared" si="33"/>
        <v>17184.866156594784</v>
      </c>
      <c r="AA201" s="58">
        <f t="shared" si="34"/>
        <v>27315.753919387334</v>
      </c>
      <c r="AB201" s="58">
        <f t="shared" si="35"/>
        <v>65646.188718192076</v>
      </c>
    </row>
    <row r="202" spans="1:28">
      <c r="A202" s="52" t="s">
        <v>638</v>
      </c>
      <c r="B202" s="52" t="s">
        <v>639</v>
      </c>
      <c r="C202" s="52" t="s">
        <v>119</v>
      </c>
      <c r="D202" s="52" t="s">
        <v>325</v>
      </c>
      <c r="E202" s="225">
        <v>79062403820.891983</v>
      </c>
      <c r="F202" s="52">
        <v>2023</v>
      </c>
      <c r="G202" s="57" t="s">
        <v>1763</v>
      </c>
      <c r="H202" s="226">
        <v>53.524999999999999</v>
      </c>
      <c r="I202" s="52">
        <v>2024</v>
      </c>
      <c r="J202" s="228">
        <v>26517048</v>
      </c>
      <c r="K202" s="52">
        <v>2020</v>
      </c>
      <c r="L202" s="52" t="s">
        <v>1769</v>
      </c>
      <c r="M202" s="228">
        <v>66617606</v>
      </c>
      <c r="N202" s="52">
        <v>2023</v>
      </c>
      <c r="O202" s="44">
        <f t="shared" si="27"/>
        <v>0.39804864798053535</v>
      </c>
      <c r="P202" s="227">
        <v>3.65</v>
      </c>
      <c r="Q202" s="227">
        <v>7.12</v>
      </c>
      <c r="R202" s="227">
        <v>11.11</v>
      </c>
      <c r="S202" s="227">
        <v>18.03</v>
      </c>
      <c r="T202" s="227">
        <v>60.09</v>
      </c>
      <c r="U202" s="233">
        <f t="shared" si="32"/>
        <v>291.24896086610653</v>
      </c>
      <c r="V202" s="233">
        <f t="shared" si="28"/>
        <v>568.13495927854206</v>
      </c>
      <c r="W202" s="233">
        <f t="shared" si="29"/>
        <v>886.51396033491596</v>
      </c>
      <c r="X202" s="233">
        <f t="shared" si="30"/>
        <v>1438.6900724427126</v>
      </c>
      <c r="Y202" s="233">
        <f t="shared" si="31"/>
        <v>4794.8356324505039</v>
      </c>
      <c r="Z202" s="58">
        <f t="shared" si="33"/>
        <v>429.69196007232426</v>
      </c>
      <c r="AA202" s="58">
        <f t="shared" si="34"/>
        <v>886.51396033491596</v>
      </c>
      <c r="AB202" s="58">
        <f t="shared" si="35"/>
        <v>4794.8356324505039</v>
      </c>
    </row>
    <row r="203" spans="1:28">
      <c r="A203" s="52" t="s">
        <v>656</v>
      </c>
      <c r="B203" s="52" t="s">
        <v>657</v>
      </c>
      <c r="C203" s="52" t="s">
        <v>119</v>
      </c>
      <c r="D203" s="52" t="s">
        <v>319</v>
      </c>
      <c r="E203" s="225">
        <v>48768955863.31749</v>
      </c>
      <c r="F203" s="52">
        <v>2023</v>
      </c>
      <c r="G203" s="57" t="s">
        <v>1763</v>
      </c>
      <c r="H203" s="226">
        <v>38.6</v>
      </c>
      <c r="I203" s="52">
        <v>2024</v>
      </c>
      <c r="J203" s="228">
        <v>18572400</v>
      </c>
      <c r="K203" s="52">
        <v>2021</v>
      </c>
      <c r="L203" s="52" t="s">
        <v>1769</v>
      </c>
      <c r="M203" s="228">
        <v>48656601</v>
      </c>
      <c r="N203" s="52">
        <v>2023</v>
      </c>
      <c r="O203" s="44">
        <f t="shared" si="27"/>
        <v>0.38170360482023807</v>
      </c>
      <c r="P203" s="227">
        <v>3.13</v>
      </c>
      <c r="Q203" s="227">
        <v>6.8</v>
      </c>
      <c r="R203" s="227">
        <v>10.82</v>
      </c>
      <c r="S203" s="227">
        <v>18.399999999999999</v>
      </c>
      <c r="T203" s="227">
        <v>60.86</v>
      </c>
      <c r="U203" s="233">
        <f t="shared" si="32"/>
        <v>158.6269870747532</v>
      </c>
      <c r="V203" s="233">
        <f t="shared" si="28"/>
        <v>344.62093038604525</v>
      </c>
      <c r="W203" s="233">
        <f t="shared" si="29"/>
        <v>548.35271570250143</v>
      </c>
      <c r="X203" s="233">
        <f t="shared" si="30"/>
        <v>932.50369398576959</v>
      </c>
      <c r="Y203" s="233">
        <f t="shared" si="31"/>
        <v>3084.3573269551052</v>
      </c>
      <c r="Z203" s="58">
        <f t="shared" si="33"/>
        <v>251.62395873039924</v>
      </c>
      <c r="AA203" s="58">
        <f t="shared" si="34"/>
        <v>548.35271570250143</v>
      </c>
      <c r="AB203" s="58">
        <f t="shared" si="35"/>
        <v>3084.3573269551052</v>
      </c>
    </row>
    <row r="204" spans="1:28">
      <c r="A204" s="52" t="s">
        <v>658</v>
      </c>
      <c r="B204" s="52" t="s">
        <v>659</v>
      </c>
      <c r="C204" s="52" t="s">
        <v>115</v>
      </c>
      <c r="D204" s="52" t="s">
        <v>325</v>
      </c>
      <c r="E204" s="225">
        <v>178757021965.00839</v>
      </c>
      <c r="F204" s="52">
        <v>2023</v>
      </c>
      <c r="G204" s="57" t="s">
        <v>1763</v>
      </c>
      <c r="H204" s="226">
        <v>49.3</v>
      </c>
      <c r="I204" s="52">
        <v>2024</v>
      </c>
      <c r="J204" s="228">
        <v>17404939</v>
      </c>
      <c r="K204" s="52">
        <v>2021</v>
      </c>
      <c r="L204" s="52" t="s">
        <v>1769</v>
      </c>
      <c r="M204" s="228">
        <v>37732836</v>
      </c>
      <c r="N204" s="52">
        <v>2023</v>
      </c>
      <c r="O204" s="44">
        <f t="shared" si="27"/>
        <v>0.46126771388188259</v>
      </c>
      <c r="P204" s="227">
        <v>8.3699999999999992</v>
      </c>
      <c r="Q204" s="227">
        <v>13.3</v>
      </c>
      <c r="R204" s="227">
        <v>17.329999999999998</v>
      </c>
      <c r="S204" s="227">
        <v>22.67</v>
      </c>
      <c r="T204" s="227">
        <v>38.32</v>
      </c>
      <c r="U204" s="233">
        <f t="shared" si="32"/>
        <v>2119.009905770512</v>
      </c>
      <c r="V204" s="233">
        <f t="shared" si="28"/>
        <v>3367.1244619770387</v>
      </c>
      <c r="W204" s="233">
        <f t="shared" si="29"/>
        <v>4387.3884906813582</v>
      </c>
      <c r="X204" s="233">
        <f t="shared" si="30"/>
        <v>5739.3016205277791</v>
      </c>
      <c r="Y204" s="233">
        <f t="shared" si="31"/>
        <v>9701.3691265383532</v>
      </c>
      <c r="Z204" s="58">
        <f t="shared" si="33"/>
        <v>2743.0671838737753</v>
      </c>
      <c r="AA204" s="58">
        <f t="shared" si="34"/>
        <v>4387.3884906813582</v>
      </c>
      <c r="AB204" s="58">
        <f t="shared" si="35"/>
        <v>9701.3691265383532</v>
      </c>
    </row>
    <row r="205" spans="1:28">
      <c r="A205" s="52" t="s">
        <v>666</v>
      </c>
      <c r="B205" s="52" t="s">
        <v>667</v>
      </c>
      <c r="C205" s="52" t="s">
        <v>116</v>
      </c>
      <c r="D205" s="52" t="s">
        <v>121</v>
      </c>
      <c r="E205" s="225">
        <v>77240830877.459671</v>
      </c>
      <c r="F205" s="52">
        <v>2023</v>
      </c>
      <c r="G205" s="57" t="s">
        <v>1763</v>
      </c>
      <c r="H205" s="226">
        <v>55.054000000000002</v>
      </c>
      <c r="I205" s="52">
        <v>2024</v>
      </c>
      <c r="J205" s="228">
        <v>1858070</v>
      </c>
      <c r="K205" s="52">
        <v>2023</v>
      </c>
      <c r="L205" s="52" t="s">
        <v>1769</v>
      </c>
      <c r="M205" s="228">
        <v>3388081</v>
      </c>
      <c r="N205" s="52">
        <v>2023</v>
      </c>
      <c r="O205" s="44">
        <f t="shared" si="27"/>
        <v>0.54841368904698562</v>
      </c>
      <c r="P205" s="227">
        <v>5.69</v>
      </c>
      <c r="Q205" s="227">
        <v>10.09</v>
      </c>
      <c r="R205" s="227">
        <v>14.93</v>
      </c>
      <c r="S205" s="227">
        <v>22.41</v>
      </c>
      <c r="T205" s="227">
        <v>46.88</v>
      </c>
      <c r="U205" s="233">
        <f t="shared" si="32"/>
        <v>6511.1247264086978</v>
      </c>
      <c r="V205" s="233">
        <f t="shared" si="28"/>
        <v>11546.089365459358</v>
      </c>
      <c r="W205" s="233">
        <f t="shared" si="29"/>
        <v>17084.550468415087</v>
      </c>
      <c r="X205" s="233">
        <f t="shared" si="30"/>
        <v>25643.990354801204</v>
      </c>
      <c r="Y205" s="233">
        <f t="shared" si="31"/>
        <v>53645.259608794324</v>
      </c>
      <c r="Z205" s="58">
        <f t="shared" si="33"/>
        <v>9028.6070459340281</v>
      </c>
      <c r="AA205" s="58">
        <f t="shared" si="34"/>
        <v>17084.550468415087</v>
      </c>
      <c r="AB205" s="58">
        <f t="shared" si="35"/>
        <v>53645.259608794324</v>
      </c>
    </row>
    <row r="206" spans="1:28">
      <c r="A206" s="52" t="s">
        <v>664</v>
      </c>
      <c r="B206" s="52" t="s">
        <v>665</v>
      </c>
      <c r="C206" s="52" t="s">
        <v>120</v>
      </c>
      <c r="D206" s="52" t="s">
        <v>121</v>
      </c>
      <c r="E206" s="225">
        <v>27720709000000</v>
      </c>
      <c r="F206" s="52">
        <v>2023</v>
      </c>
      <c r="G206" s="57" t="s">
        <v>1763</v>
      </c>
      <c r="H206" s="226">
        <v>57.475000000000001</v>
      </c>
      <c r="I206" s="52">
        <v>2024</v>
      </c>
      <c r="J206" s="228">
        <v>168106211</v>
      </c>
      <c r="K206" s="52">
        <v>2024</v>
      </c>
      <c r="L206" s="52" t="s">
        <v>1769</v>
      </c>
      <c r="M206" s="228">
        <v>334914895</v>
      </c>
      <c r="N206" s="52">
        <v>2023</v>
      </c>
      <c r="O206" s="44">
        <f t="shared" si="27"/>
        <v>0.50193709957271382</v>
      </c>
      <c r="P206" s="227">
        <v>5.14</v>
      </c>
      <c r="Q206" s="227">
        <v>10.17</v>
      </c>
      <c r="R206" s="227">
        <v>15.2</v>
      </c>
      <c r="S206" s="227">
        <v>22.48</v>
      </c>
      <c r="T206" s="227">
        <v>47.01</v>
      </c>
      <c r="U206" s="233">
        <f t="shared" si="32"/>
        <v>24357.498111249137</v>
      </c>
      <c r="V206" s="233">
        <f t="shared" si="28"/>
        <v>48193.726807666106</v>
      </c>
      <c r="W206" s="233">
        <f t="shared" si="29"/>
        <v>72029.95550408306</v>
      </c>
      <c r="X206" s="233">
        <f t="shared" si="30"/>
        <v>106528.51314024915</v>
      </c>
      <c r="Y206" s="233">
        <f t="shared" si="31"/>
        <v>222771.59264782528</v>
      </c>
      <c r="Z206" s="58">
        <f t="shared" si="33"/>
        <v>36275.612459457625</v>
      </c>
      <c r="AA206" s="58">
        <f t="shared" si="34"/>
        <v>72029.95550408306</v>
      </c>
      <c r="AB206" s="58">
        <f t="shared" si="35"/>
        <v>222771.59264782528</v>
      </c>
    </row>
    <row r="207" spans="1:28">
      <c r="A207" s="52" t="s">
        <v>668</v>
      </c>
      <c r="B207" s="52" t="s">
        <v>669</v>
      </c>
      <c r="C207" s="52" t="s">
        <v>115</v>
      </c>
      <c r="D207" s="52" t="s">
        <v>325</v>
      </c>
      <c r="E207" s="225">
        <v>101591769702.34315</v>
      </c>
      <c r="F207" s="52">
        <v>2023</v>
      </c>
      <c r="G207" s="57" t="s">
        <v>1763</v>
      </c>
      <c r="H207" s="226">
        <v>45.567</v>
      </c>
      <c r="I207" s="52">
        <v>2024</v>
      </c>
      <c r="J207" s="228">
        <v>13958835</v>
      </c>
      <c r="K207" s="52">
        <v>2020</v>
      </c>
      <c r="L207" s="52" t="s">
        <v>1769</v>
      </c>
      <c r="M207" s="228">
        <v>35652307</v>
      </c>
      <c r="N207" s="52">
        <v>2023</v>
      </c>
      <c r="O207" s="44">
        <f t="shared" si="27"/>
        <v>0.3915268372394527</v>
      </c>
      <c r="P207" s="227">
        <v>6.37</v>
      </c>
      <c r="Q207" s="227">
        <v>11.68</v>
      </c>
      <c r="R207" s="227">
        <v>15.96</v>
      </c>
      <c r="S207" s="227">
        <v>22.05</v>
      </c>
      <c r="T207" s="227">
        <v>43.94</v>
      </c>
      <c r="U207" s="233">
        <f t="shared" si="32"/>
        <v>1056.2560888165058</v>
      </c>
      <c r="V207" s="233">
        <f t="shared" si="28"/>
        <v>1936.7458583009081</v>
      </c>
      <c r="W207" s="233">
        <f t="shared" si="29"/>
        <v>2646.4438269248712</v>
      </c>
      <c r="X207" s="233">
        <f t="shared" si="30"/>
        <v>3656.2710766725186</v>
      </c>
      <c r="Y207" s="233">
        <f t="shared" si="31"/>
        <v>7286.011388162834</v>
      </c>
      <c r="Z207" s="58">
        <f t="shared" si="33"/>
        <v>1496.5009735587068</v>
      </c>
      <c r="AA207" s="58">
        <f t="shared" si="34"/>
        <v>2646.4438269248712</v>
      </c>
      <c r="AB207" s="58">
        <f t="shared" si="35"/>
        <v>7286.011388162834</v>
      </c>
    </row>
    <row r="208" spans="1:28">
      <c r="A208" s="52" t="s">
        <v>620</v>
      </c>
      <c r="B208" s="52" t="s">
        <v>621</v>
      </c>
      <c r="C208" s="52" t="s">
        <v>116</v>
      </c>
      <c r="D208" s="52" t="s">
        <v>322</v>
      </c>
      <c r="E208" s="225">
        <v>1065962962.9629629</v>
      </c>
      <c r="F208" s="52">
        <v>2023</v>
      </c>
      <c r="G208" s="57" t="s">
        <v>1763</v>
      </c>
      <c r="H208" s="226">
        <v>47.7</v>
      </c>
      <c r="I208" s="52">
        <v>2024</v>
      </c>
      <c r="J208" s="228">
        <v>52000</v>
      </c>
      <c r="K208" s="52">
        <v>2023</v>
      </c>
      <c r="L208" s="52" t="s">
        <v>1770</v>
      </c>
      <c r="M208" s="228">
        <v>101323</v>
      </c>
      <c r="N208" s="52">
        <v>2023</v>
      </c>
      <c r="O208" s="44">
        <f t="shared" si="27"/>
        <v>0.51321022867463462</v>
      </c>
      <c r="P208" s="227">
        <v>4</v>
      </c>
      <c r="Q208" s="227">
        <v>8.84</v>
      </c>
      <c r="R208" s="227">
        <v>13.71</v>
      </c>
      <c r="S208" s="227">
        <v>20.67</v>
      </c>
      <c r="T208" s="227">
        <v>52.78</v>
      </c>
      <c r="U208" s="233">
        <f t="shared" si="32"/>
        <v>1955.6320512820512</v>
      </c>
      <c r="V208" s="233">
        <f t="shared" si="28"/>
        <v>4321.9468333333325</v>
      </c>
      <c r="W208" s="233">
        <f t="shared" si="29"/>
        <v>6702.9288557692298</v>
      </c>
      <c r="X208" s="233">
        <f t="shared" si="30"/>
        <v>10105.728625</v>
      </c>
      <c r="Y208" s="233">
        <f t="shared" si="31"/>
        <v>25804.564916666666</v>
      </c>
      <c r="Z208" s="58">
        <f t="shared" si="33"/>
        <v>3138.7894423076918</v>
      </c>
      <c r="AA208" s="58">
        <f t="shared" si="34"/>
        <v>6702.9288557692298</v>
      </c>
      <c r="AB208" s="58">
        <f t="shared" si="35"/>
        <v>25804.564916666666</v>
      </c>
    </row>
    <row r="209" spans="1:28">
      <c r="A209" s="52" t="s">
        <v>672</v>
      </c>
      <c r="B209" s="52" t="s">
        <v>673</v>
      </c>
      <c r="C209" s="52" t="s">
        <v>116</v>
      </c>
      <c r="D209" s="52" t="s">
        <v>325</v>
      </c>
      <c r="E209" s="225">
        <v>482359318767.703</v>
      </c>
      <c r="F209" s="52">
        <v>2014</v>
      </c>
      <c r="G209" s="57" t="s">
        <v>1763</v>
      </c>
      <c r="H209" s="226">
        <v>9.6959999999999997</v>
      </c>
      <c r="I209" s="52">
        <v>2024</v>
      </c>
      <c r="J209" s="228">
        <v>14722280</v>
      </c>
      <c r="K209" s="52">
        <v>2020</v>
      </c>
      <c r="L209" s="52" t="s">
        <v>1769</v>
      </c>
      <c r="M209" s="228">
        <v>28300854</v>
      </c>
      <c r="N209" s="52">
        <v>2023</v>
      </c>
      <c r="O209" s="44">
        <f t="shared" si="27"/>
        <v>0.5202062100316831</v>
      </c>
      <c r="P209" s="227">
        <v>6.22</v>
      </c>
      <c r="Q209" s="227">
        <v>11.12</v>
      </c>
      <c r="R209" s="227">
        <v>15.93</v>
      </c>
      <c r="S209" s="227">
        <v>22.74</v>
      </c>
      <c r="T209" s="227">
        <v>43.99</v>
      </c>
      <c r="U209" s="233">
        <f t="shared" si="32"/>
        <v>987.98100697309292</v>
      </c>
      <c r="V209" s="233">
        <f t="shared" si="28"/>
        <v>1766.2940188972332</v>
      </c>
      <c r="W209" s="233">
        <f t="shared" si="29"/>
        <v>2530.3114857044002</v>
      </c>
      <c r="X209" s="233">
        <f t="shared" si="30"/>
        <v>3612.0077328887674</v>
      </c>
      <c r="Y209" s="233">
        <f t="shared" si="31"/>
        <v>6987.3447743965207</v>
      </c>
      <c r="Z209" s="58">
        <f t="shared" si="33"/>
        <v>1377.1375129351632</v>
      </c>
      <c r="AA209" s="58">
        <f t="shared" si="34"/>
        <v>2530.3114857044002</v>
      </c>
      <c r="AB209" s="58">
        <f t="shared" si="35"/>
        <v>6987.3447743965207</v>
      </c>
    </row>
    <row r="210" spans="1:28">
      <c r="A210" s="52" t="s">
        <v>720</v>
      </c>
      <c r="B210" s="52" t="s">
        <v>721</v>
      </c>
      <c r="C210" s="52" t="s">
        <v>116</v>
      </c>
      <c r="D210" s="52" t="s">
        <v>121</v>
      </c>
      <c r="E210" s="225">
        <f>1581*1000000</f>
        <v>1581000000</v>
      </c>
      <c r="F210" s="52">
        <v>2023</v>
      </c>
      <c r="G210" s="52" t="s">
        <v>1766</v>
      </c>
      <c r="H210" s="226">
        <v>50.6</v>
      </c>
      <c r="I210" s="52">
        <v>2024</v>
      </c>
      <c r="J210" s="228">
        <v>12770</v>
      </c>
      <c r="K210" s="52">
        <v>2004</v>
      </c>
      <c r="L210" s="57" t="s">
        <v>1770</v>
      </c>
      <c r="M210" s="228">
        <v>38985</v>
      </c>
      <c r="N210" s="52">
        <v>2023</v>
      </c>
      <c r="O210" s="44">
        <f t="shared" si="27"/>
        <v>0.32756188277542647</v>
      </c>
      <c r="P210" s="227">
        <v>4.05</v>
      </c>
      <c r="Q210" s="227">
        <v>8.52</v>
      </c>
      <c r="R210" s="227">
        <v>13.03</v>
      </c>
      <c r="S210" s="227">
        <v>20.2</v>
      </c>
      <c r="T210" s="227">
        <v>54.21</v>
      </c>
      <c r="U210" s="233">
        <f t="shared" si="32"/>
        <v>12685.76076742365</v>
      </c>
      <c r="V210" s="233">
        <f t="shared" si="28"/>
        <v>26687.08191072827</v>
      </c>
      <c r="W210" s="233">
        <f t="shared" si="29"/>
        <v>40813.694518402503</v>
      </c>
      <c r="X210" s="233">
        <f t="shared" si="30"/>
        <v>63272.189506656228</v>
      </c>
      <c r="Y210" s="233">
        <f t="shared" si="31"/>
        <v>169801.25708692247</v>
      </c>
      <c r="Z210" s="58">
        <f t="shared" si="33"/>
        <v>19686.421339075961</v>
      </c>
      <c r="AA210" s="58">
        <f t="shared" si="34"/>
        <v>40813.694518402503</v>
      </c>
      <c r="AB210" s="58">
        <f t="shared" si="35"/>
        <v>169801.25708692247</v>
      </c>
    </row>
    <row r="211" spans="1:28">
      <c r="A211" s="52" t="s">
        <v>778</v>
      </c>
      <c r="B211" s="52" t="s">
        <v>779</v>
      </c>
      <c r="C211" s="52" t="s">
        <v>116</v>
      </c>
      <c r="D211" s="52" t="s">
        <v>121</v>
      </c>
      <c r="E211" s="225">
        <v>4672000000</v>
      </c>
      <c r="F211" s="52">
        <v>2022</v>
      </c>
      <c r="G211" s="57" t="s">
        <v>1763</v>
      </c>
      <c r="H211" s="226">
        <v>50.6</v>
      </c>
      <c r="I211" s="52">
        <v>2024</v>
      </c>
      <c r="J211" s="228">
        <v>48000</v>
      </c>
      <c r="K211" s="52">
        <v>2023</v>
      </c>
      <c r="L211" s="52" t="s">
        <v>1770</v>
      </c>
      <c r="M211" s="228">
        <v>104917</v>
      </c>
      <c r="N211" s="52">
        <v>2023</v>
      </c>
      <c r="O211" s="44">
        <f t="shared" si="27"/>
        <v>0.45750450355995692</v>
      </c>
      <c r="P211" s="227">
        <v>3.9849999999999994</v>
      </c>
      <c r="Q211" s="227">
        <v>8.5437499999999993</v>
      </c>
      <c r="R211" s="227">
        <v>13.252500000000001</v>
      </c>
      <c r="S211" s="227">
        <v>20.580000000000002</v>
      </c>
      <c r="T211" s="227">
        <v>53.643125000000005</v>
      </c>
      <c r="U211" s="233">
        <f t="shared" si="32"/>
        <v>9813.1953333333313</v>
      </c>
      <c r="V211" s="233">
        <f t="shared" si="28"/>
        <v>21039.269166666665</v>
      </c>
      <c r="W211" s="233">
        <f t="shared" si="29"/>
        <v>32634.723000000002</v>
      </c>
      <c r="X211" s="233">
        <f t="shared" si="30"/>
        <v>50678.936000000002</v>
      </c>
      <c r="Y211" s="233">
        <f t="shared" si="31"/>
        <v>132097.98341666666</v>
      </c>
      <c r="Z211" s="58">
        <f t="shared" si="33"/>
        <v>15426.232249999997</v>
      </c>
      <c r="AA211" s="58">
        <f t="shared" si="34"/>
        <v>32634.723000000002</v>
      </c>
      <c r="AB211" s="58">
        <f t="shared" si="35"/>
        <v>132097.98341666666</v>
      </c>
    </row>
    <row r="212" spans="1:28">
      <c r="A212" s="52" t="s">
        <v>674</v>
      </c>
      <c r="B212" s="52" t="s">
        <v>675</v>
      </c>
      <c r="C212" s="52" t="s">
        <v>114</v>
      </c>
      <c r="D212" s="52" t="s">
        <v>325</v>
      </c>
      <c r="E212" s="225">
        <v>429716969043.57172</v>
      </c>
      <c r="F212" s="52">
        <v>2023</v>
      </c>
      <c r="G212" s="57" t="s">
        <v>1763</v>
      </c>
      <c r="H212" s="226">
        <v>43.253</v>
      </c>
      <c r="I212" s="52">
        <v>2024</v>
      </c>
      <c r="J212" s="228">
        <v>55875462</v>
      </c>
      <c r="K212" s="52">
        <v>2023</v>
      </c>
      <c r="L212" s="52" t="s">
        <v>1769</v>
      </c>
      <c r="M212" s="228">
        <v>100352192</v>
      </c>
      <c r="N212" s="52">
        <v>2023</v>
      </c>
      <c r="O212" s="44">
        <f t="shared" si="27"/>
        <v>0.55679363735273468</v>
      </c>
      <c r="P212" s="227">
        <v>6.51</v>
      </c>
      <c r="Q212" s="227">
        <v>11.6</v>
      </c>
      <c r="R212" s="227">
        <v>16.190000000000001</v>
      </c>
      <c r="S212" s="227">
        <v>22.32</v>
      </c>
      <c r="T212" s="227">
        <v>43.37</v>
      </c>
      <c r="U212" s="233">
        <f t="shared" si="32"/>
        <v>1082.7510283842562</v>
      </c>
      <c r="V212" s="233">
        <f t="shared" si="28"/>
        <v>1929.3259491946806</v>
      </c>
      <c r="W212" s="233">
        <f t="shared" si="29"/>
        <v>2692.7402687467143</v>
      </c>
      <c r="X212" s="233">
        <f t="shared" si="30"/>
        <v>3712.2892401745926</v>
      </c>
      <c r="Y212" s="233">
        <f t="shared" si="31"/>
        <v>7213.3505531528726</v>
      </c>
      <c r="Z212" s="58">
        <f t="shared" si="33"/>
        <v>1506.0384887894684</v>
      </c>
      <c r="AA212" s="58">
        <f t="shared" si="34"/>
        <v>2692.7402687467143</v>
      </c>
      <c r="AB212" s="58">
        <f t="shared" si="35"/>
        <v>7213.3505531528726</v>
      </c>
    </row>
    <row r="213" spans="1:28">
      <c r="A213" s="52" t="s">
        <v>670</v>
      </c>
      <c r="B213" s="52" t="s">
        <v>671</v>
      </c>
      <c r="C213" s="52" t="s">
        <v>114</v>
      </c>
      <c r="D213" s="52" t="s">
        <v>325</v>
      </c>
      <c r="E213" s="225">
        <v>1126313359.2192256</v>
      </c>
      <c r="F213" s="52">
        <v>2023</v>
      </c>
      <c r="G213" s="57" t="s">
        <v>1763</v>
      </c>
      <c r="H213" s="226">
        <v>59.844000000000001</v>
      </c>
      <c r="I213" s="52">
        <v>2024</v>
      </c>
      <c r="J213" s="228">
        <v>79038</v>
      </c>
      <c r="K213" s="52">
        <v>2020</v>
      </c>
      <c r="L213" s="52" t="s">
        <v>1769</v>
      </c>
      <c r="M213" s="228">
        <v>320409</v>
      </c>
      <c r="N213" s="52">
        <v>2023</v>
      </c>
      <c r="O213" s="44">
        <f t="shared" si="27"/>
        <v>0.24667846408808741</v>
      </c>
      <c r="P213" s="227">
        <v>6.98</v>
      </c>
      <c r="Q213" s="227">
        <v>11.56</v>
      </c>
      <c r="R213" s="227">
        <v>16.27</v>
      </c>
      <c r="S213" s="227">
        <v>22.15</v>
      </c>
      <c r="T213" s="227">
        <v>43.04</v>
      </c>
      <c r="U213" s="233">
        <f t="shared" si="32"/>
        <v>2976.2494923354907</v>
      </c>
      <c r="V213" s="233">
        <f t="shared" si="28"/>
        <v>4929.1467236960279</v>
      </c>
      <c r="W213" s="233">
        <f t="shared" si="29"/>
        <v>6937.4755358593729</v>
      </c>
      <c r="X213" s="233">
        <f t="shared" si="30"/>
        <v>9444.6885752480102</v>
      </c>
      <c r="Y213" s="233">
        <f t="shared" si="31"/>
        <v>18352.117213484173</v>
      </c>
      <c r="Z213" s="58">
        <f t="shared" si="33"/>
        <v>3952.6981080157593</v>
      </c>
      <c r="AA213" s="58">
        <f t="shared" si="34"/>
        <v>6937.4755358593729</v>
      </c>
      <c r="AB213" s="58">
        <f t="shared" si="35"/>
        <v>18352.117213484173</v>
      </c>
    </row>
    <row r="214" spans="1:28">
      <c r="A214" s="52" t="s">
        <v>586</v>
      </c>
      <c r="B214" s="52" t="s">
        <v>587</v>
      </c>
      <c r="C214" s="52" t="s">
        <v>114</v>
      </c>
      <c r="D214" s="52" t="s">
        <v>325</v>
      </c>
      <c r="E214" s="225">
        <v>938189443.83039284</v>
      </c>
      <c r="F214" s="52">
        <v>2023</v>
      </c>
      <c r="G214" s="57" t="s">
        <v>1763</v>
      </c>
      <c r="H214" s="226">
        <v>39.993000000000002</v>
      </c>
      <c r="I214" s="52">
        <v>2024</v>
      </c>
      <c r="J214" s="228">
        <v>55960</v>
      </c>
      <c r="K214" s="52">
        <v>2022</v>
      </c>
      <c r="L214" s="52" t="s">
        <v>1769</v>
      </c>
      <c r="M214" s="228">
        <v>216663</v>
      </c>
      <c r="N214" s="52">
        <v>2023</v>
      </c>
      <c r="O214" s="44">
        <f t="shared" si="27"/>
        <v>0.25828129399112909</v>
      </c>
      <c r="P214" s="227">
        <v>6.42</v>
      </c>
      <c r="Q214" s="227">
        <v>10.61</v>
      </c>
      <c r="R214" s="227">
        <v>14.63</v>
      </c>
      <c r="S214" s="227">
        <v>20.54</v>
      </c>
      <c r="T214" s="227">
        <v>47.81</v>
      </c>
      <c r="U214" s="233">
        <f t="shared" si="32"/>
        <v>2152.2952728917003</v>
      </c>
      <c r="V214" s="233">
        <f t="shared" si="28"/>
        <v>3556.9864245141657</v>
      </c>
      <c r="W214" s="233">
        <f t="shared" si="29"/>
        <v>4904.6853337080347</v>
      </c>
      <c r="X214" s="233">
        <f t="shared" si="30"/>
        <v>6886.0038793139465</v>
      </c>
      <c r="Y214" s="233">
        <f t="shared" si="31"/>
        <v>16028.230061830565</v>
      </c>
      <c r="Z214" s="58">
        <f t="shared" si="33"/>
        <v>2854.640848702933</v>
      </c>
      <c r="AA214" s="58">
        <f t="shared" si="34"/>
        <v>4904.6853337080347</v>
      </c>
      <c r="AB214" s="58">
        <f t="shared" si="35"/>
        <v>16028.230061830565</v>
      </c>
    </row>
    <row r="215" spans="1:28">
      <c r="A215" s="52" t="s">
        <v>684</v>
      </c>
      <c r="B215" s="52" t="s">
        <v>685</v>
      </c>
      <c r="C215" s="52" t="s">
        <v>115</v>
      </c>
      <c r="D215" s="52" t="s">
        <v>322</v>
      </c>
      <c r="E215" s="225">
        <v>10468219225.48691</v>
      </c>
      <c r="F215" s="52">
        <v>2023</v>
      </c>
      <c r="G215" s="57" t="s">
        <v>1763</v>
      </c>
      <c r="H215" s="226">
        <v>45.6</v>
      </c>
      <c r="I215" s="52">
        <v>2024</v>
      </c>
      <c r="J215" s="228">
        <v>500300</v>
      </c>
      <c r="K215" s="52">
        <v>2017</v>
      </c>
      <c r="L215" s="52" t="s">
        <v>1770</v>
      </c>
      <c r="M215" s="228">
        <v>1756366</v>
      </c>
      <c r="N215" s="52">
        <v>2023</v>
      </c>
      <c r="O215" s="44">
        <f t="shared" si="27"/>
        <v>0.28484951314247714</v>
      </c>
      <c r="P215" s="227">
        <v>3.76</v>
      </c>
      <c r="Q215" s="227">
        <v>10.4</v>
      </c>
      <c r="R215" s="227">
        <v>15.74</v>
      </c>
      <c r="S215" s="227">
        <v>23.5</v>
      </c>
      <c r="T215" s="227">
        <v>46.62</v>
      </c>
      <c r="U215" s="233">
        <f t="shared" si="32"/>
        <v>1793.762737882354</v>
      </c>
      <c r="V215" s="233">
        <f t="shared" si="28"/>
        <v>4961.4714026533211</v>
      </c>
      <c r="W215" s="233">
        <f t="shared" si="29"/>
        <v>7508.996142092622</v>
      </c>
      <c r="X215" s="233">
        <f t="shared" si="30"/>
        <v>11211.017111764713</v>
      </c>
      <c r="Y215" s="233">
        <f t="shared" si="31"/>
        <v>22240.749691509402</v>
      </c>
      <c r="Z215" s="58">
        <f t="shared" si="33"/>
        <v>3377.6170702678373</v>
      </c>
      <c r="AA215" s="58">
        <f t="shared" si="34"/>
        <v>7508.996142092622</v>
      </c>
      <c r="AB215" s="58">
        <f t="shared" si="35"/>
        <v>22240.749691509402</v>
      </c>
    </row>
    <row r="216" spans="1:28">
      <c r="A216" s="52" t="s">
        <v>678</v>
      </c>
      <c r="B216" s="52" t="s">
        <v>679</v>
      </c>
      <c r="C216" s="52" t="s">
        <v>117</v>
      </c>
      <c r="D216" s="52" t="s">
        <v>319</v>
      </c>
      <c r="E216" s="225">
        <v>21606160783.984501</v>
      </c>
      <c r="F216" s="52">
        <v>2018</v>
      </c>
      <c r="G216" s="57" t="s">
        <v>1763</v>
      </c>
      <c r="H216" s="226">
        <v>34.981999999999999</v>
      </c>
      <c r="I216" s="52">
        <v>2024</v>
      </c>
      <c r="J216" s="228">
        <v>4849877</v>
      </c>
      <c r="K216" s="52">
        <v>2014</v>
      </c>
      <c r="L216" s="52" t="s">
        <v>1769</v>
      </c>
      <c r="M216" s="228">
        <v>39390799</v>
      </c>
      <c r="N216" s="52">
        <v>2023</v>
      </c>
      <c r="O216" s="44">
        <f t="shared" si="27"/>
        <v>0.12312207731556804</v>
      </c>
      <c r="P216" s="227">
        <v>6.16</v>
      </c>
      <c r="Q216" s="227">
        <v>10.73</v>
      </c>
      <c r="R216" s="227">
        <v>15.12</v>
      </c>
      <c r="S216" s="227">
        <v>21.54</v>
      </c>
      <c r="T216" s="227">
        <v>46.43</v>
      </c>
      <c r="U216" s="233">
        <f t="shared" si="32"/>
        <v>480.00109837005459</v>
      </c>
      <c r="V216" s="233">
        <f t="shared" si="28"/>
        <v>836.1058093361504</v>
      </c>
      <c r="W216" s="233">
        <f t="shared" si="29"/>
        <v>1178.1845141810429</v>
      </c>
      <c r="X216" s="233">
        <f t="shared" si="30"/>
        <v>1678.445399170613</v>
      </c>
      <c r="Y216" s="233">
        <f t="shared" si="31"/>
        <v>3617.9303567080574</v>
      </c>
      <c r="Z216" s="58">
        <f t="shared" si="33"/>
        <v>658.0534538531025</v>
      </c>
      <c r="AA216" s="58">
        <f t="shared" si="34"/>
        <v>1178.1845141810429</v>
      </c>
      <c r="AB216" s="58">
        <f t="shared" si="35"/>
        <v>3617.9303567080574</v>
      </c>
    </row>
    <row r="217" spans="1:28">
      <c r="A217" s="52" t="s">
        <v>610</v>
      </c>
      <c r="B217" s="52" t="s">
        <v>611</v>
      </c>
      <c r="C217" s="52" t="s">
        <v>119</v>
      </c>
      <c r="D217" s="52" t="s">
        <v>322</v>
      </c>
      <c r="E217" s="225">
        <v>380699271814.50824</v>
      </c>
      <c r="F217" s="52">
        <v>2023</v>
      </c>
      <c r="G217" s="57" t="s">
        <v>1763</v>
      </c>
      <c r="H217" s="226">
        <v>56.392000000000003</v>
      </c>
      <c r="I217" s="52">
        <v>2024</v>
      </c>
      <c r="J217" s="228">
        <v>25291488</v>
      </c>
      <c r="K217" s="52">
        <v>2024</v>
      </c>
      <c r="L217" s="52" t="s">
        <v>1769</v>
      </c>
      <c r="M217" s="228">
        <v>63212384</v>
      </c>
      <c r="N217" s="52">
        <v>2023</v>
      </c>
      <c r="O217" s="44">
        <f t="shared" si="27"/>
        <v>0.40010337214935604</v>
      </c>
      <c r="P217" s="227">
        <v>1.56</v>
      </c>
      <c r="Q217" s="227">
        <v>3.79</v>
      </c>
      <c r="R217" s="227">
        <v>7.45</v>
      </c>
      <c r="S217" s="227">
        <v>16.11</v>
      </c>
      <c r="T217" s="227">
        <v>71.09</v>
      </c>
      <c r="U217" s="233">
        <f t="shared" si="32"/>
        <v>662.09417184974336</v>
      </c>
      <c r="V217" s="233">
        <f t="shared" si="28"/>
        <v>1608.549302122133</v>
      </c>
      <c r="W217" s="233">
        <f t="shared" si="29"/>
        <v>3161.9240899234537</v>
      </c>
      <c r="X217" s="233">
        <f t="shared" si="30"/>
        <v>6837.3955823713886</v>
      </c>
      <c r="Y217" s="233">
        <f t="shared" si="31"/>
        <v>30171.970946665548</v>
      </c>
      <c r="Z217" s="58">
        <f t="shared" si="33"/>
        <v>1135.3217369859381</v>
      </c>
      <c r="AA217" s="58">
        <f t="shared" si="34"/>
        <v>3161.9240899234537</v>
      </c>
      <c r="AB217" s="58">
        <f t="shared" si="35"/>
        <v>30171.970946665548</v>
      </c>
    </row>
    <row r="218" spans="1:28">
      <c r="A218" s="52" t="s">
        <v>680</v>
      </c>
      <c r="B218" s="52" t="s">
        <v>681</v>
      </c>
      <c r="C218" s="52" t="s">
        <v>119</v>
      </c>
      <c r="D218" s="52" t="s">
        <v>325</v>
      </c>
      <c r="E218" s="225">
        <v>27577956471.243988</v>
      </c>
      <c r="F218" s="52">
        <v>2023</v>
      </c>
      <c r="G218" s="57" t="s">
        <v>1763</v>
      </c>
      <c r="H218" s="226">
        <v>37.122999999999998</v>
      </c>
      <c r="I218" s="52">
        <v>2024</v>
      </c>
      <c r="J218" s="228">
        <v>7181589</v>
      </c>
      <c r="K218" s="52">
        <v>2023</v>
      </c>
      <c r="L218" s="52" t="s">
        <v>1769</v>
      </c>
      <c r="M218" s="228">
        <v>20723965</v>
      </c>
      <c r="N218" s="52">
        <v>2023</v>
      </c>
      <c r="O218" s="44">
        <f t="shared" si="27"/>
        <v>0.34653547233842558</v>
      </c>
      <c r="P218" s="227">
        <v>0.93</v>
      </c>
      <c r="Q218" s="227">
        <v>4.08</v>
      </c>
      <c r="R218" s="227">
        <v>8.56</v>
      </c>
      <c r="S218" s="227">
        <v>17.05</v>
      </c>
      <c r="T218" s="227">
        <v>69.38</v>
      </c>
      <c r="U218" s="233">
        <f t="shared" si="32"/>
        <v>66.288402512052073</v>
      </c>
      <c r="V218" s="233">
        <f t="shared" si="28"/>
        <v>290.81363682706717</v>
      </c>
      <c r="W218" s="233">
        <f t="shared" si="29"/>
        <v>610.13841451953306</v>
      </c>
      <c r="X218" s="233">
        <f t="shared" si="30"/>
        <v>1215.2873793876215</v>
      </c>
      <c r="Y218" s="233">
        <f t="shared" si="31"/>
        <v>4945.2573831034115</v>
      </c>
      <c r="Z218" s="58">
        <f t="shared" si="33"/>
        <v>178.55101966955962</v>
      </c>
      <c r="AA218" s="58">
        <f t="shared" si="34"/>
        <v>610.13841451953306</v>
      </c>
      <c r="AB218" s="58">
        <f t="shared" si="35"/>
        <v>4945.2573831034115</v>
      </c>
    </row>
    <row r="219" spans="1:28">
      <c r="A219" s="52" t="s">
        <v>682</v>
      </c>
      <c r="B219" s="52" t="s">
        <v>683</v>
      </c>
      <c r="C219" s="52" t="s">
        <v>119</v>
      </c>
      <c r="D219" s="52" t="s">
        <v>325</v>
      </c>
      <c r="E219" s="225">
        <v>35231367885.85537</v>
      </c>
      <c r="F219" s="52">
        <v>2023</v>
      </c>
      <c r="G219" s="57" t="s">
        <v>1763</v>
      </c>
      <c r="H219" s="226">
        <v>51.631999999999998</v>
      </c>
      <c r="I219" s="52">
        <v>2024</v>
      </c>
      <c r="J219" s="228">
        <v>6095057</v>
      </c>
      <c r="K219" s="52">
        <v>2023</v>
      </c>
      <c r="L219" s="52" t="s">
        <v>1769</v>
      </c>
      <c r="M219" s="228">
        <v>16340822</v>
      </c>
      <c r="N219" s="52">
        <v>2023</v>
      </c>
      <c r="O219" s="44">
        <f t="shared" si="27"/>
        <v>0.37299574036116423</v>
      </c>
      <c r="P219" s="227">
        <v>2.97</v>
      </c>
      <c r="Q219" s="227">
        <v>6.18</v>
      </c>
      <c r="R219" s="227">
        <v>10.45</v>
      </c>
      <c r="S219" s="227">
        <v>18.149999999999999</v>
      </c>
      <c r="T219" s="227">
        <v>62.24</v>
      </c>
      <c r="U219" s="233">
        <f t="shared" si="32"/>
        <v>443.19733026672088</v>
      </c>
      <c r="V219" s="233">
        <f t="shared" si="28"/>
        <v>922.20858621156049</v>
      </c>
      <c r="W219" s="233">
        <f t="shared" si="29"/>
        <v>1559.3980139014254</v>
      </c>
      <c r="X219" s="233">
        <f t="shared" si="30"/>
        <v>2708.4281294077387</v>
      </c>
      <c r="Y219" s="233">
        <f t="shared" si="31"/>
        <v>9287.7447258588254</v>
      </c>
      <c r="Z219" s="58">
        <f t="shared" si="33"/>
        <v>682.70295823914068</v>
      </c>
      <c r="AA219" s="58">
        <f t="shared" si="34"/>
        <v>1559.3980139014254</v>
      </c>
      <c r="AB219" s="58">
        <f t="shared" si="35"/>
        <v>9287.7447258588254</v>
      </c>
    </row>
  </sheetData>
  <autoFilter ref="A1:AB219" xr:uid="{D882A4DE-53E3-2D45-80B3-CBB12AFE52C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F8978-3E68-0E4C-8C94-A368D1656BEA}">
  <sheetPr>
    <tabColor theme="8"/>
  </sheetPr>
  <dimension ref="A1:V219"/>
  <sheetViews>
    <sheetView showGridLines="0" zoomScaleNormal="100" workbookViewId="0">
      <pane xSplit="4" ySplit="1" topLeftCell="L2" activePane="bottomRight" state="frozen"/>
      <selection activeCell="AD20" sqref="AD20"/>
      <selection pane="topRight" activeCell="AD20" sqref="AD20"/>
      <selection pane="bottomLeft" activeCell="AD20" sqref="AD20"/>
      <selection pane="bottomRight" activeCell="AD20" sqref="AD20"/>
    </sheetView>
  </sheetViews>
  <sheetFormatPr defaultColWidth="8.796875" defaultRowHeight="14.4"/>
  <cols>
    <col min="1" max="1" width="23.5" style="53" customWidth="1"/>
    <col min="2" max="2" width="12.296875" style="53" bestFit="1" customWidth="1"/>
    <col min="3" max="3" width="23" style="53" bestFit="1" customWidth="1"/>
    <col min="4" max="4" width="20" style="53" customWidth="1"/>
    <col min="5" max="10" width="15.5" style="53" customWidth="1"/>
    <col min="11" max="11" width="19" style="53" customWidth="1"/>
    <col min="12" max="13" width="15.5" style="53" customWidth="1"/>
    <col min="14" max="14" width="13.5" style="53" customWidth="1"/>
    <col min="15" max="15" width="14.19921875" style="53" customWidth="1"/>
    <col min="16" max="16" width="12" style="53" customWidth="1"/>
    <col min="17" max="17" width="13.5" style="53" customWidth="1"/>
    <col min="18" max="18" width="15.19921875" style="53" customWidth="1"/>
    <col min="19" max="19" width="14" style="53" customWidth="1"/>
    <col min="20" max="22" width="12" style="53" customWidth="1"/>
    <col min="23" max="16384" width="8.796875" style="53"/>
  </cols>
  <sheetData>
    <row r="1" spans="1:22" s="113" customFormat="1" ht="100.8">
      <c r="A1" s="116" t="s">
        <v>1507</v>
      </c>
      <c r="B1" s="115" t="s">
        <v>1531</v>
      </c>
      <c r="C1" s="116" t="s">
        <v>297</v>
      </c>
      <c r="D1" s="116" t="s">
        <v>298</v>
      </c>
      <c r="E1" s="114" t="s">
        <v>1532</v>
      </c>
      <c r="F1" s="114" t="s">
        <v>1533</v>
      </c>
      <c r="G1" s="114" t="s">
        <v>1534</v>
      </c>
      <c r="H1" s="114" t="s">
        <v>1535</v>
      </c>
      <c r="I1" s="114" t="s">
        <v>1536</v>
      </c>
      <c r="J1" s="114" t="s">
        <v>1537</v>
      </c>
      <c r="K1" s="114" t="s">
        <v>1538</v>
      </c>
      <c r="L1" s="114" t="s">
        <v>1539</v>
      </c>
      <c r="M1" s="114" t="s">
        <v>1540</v>
      </c>
      <c r="N1" s="114" t="s">
        <v>1541</v>
      </c>
      <c r="O1" s="114" t="s">
        <v>1542</v>
      </c>
      <c r="P1" s="114" t="s">
        <v>1543</v>
      </c>
      <c r="Q1" s="114" t="s">
        <v>1544</v>
      </c>
      <c r="R1" s="114" t="s">
        <v>1545</v>
      </c>
      <c r="S1" s="114" t="s">
        <v>1546</v>
      </c>
      <c r="T1" s="114" t="s">
        <v>1547</v>
      </c>
      <c r="U1" s="114" t="s">
        <v>1548</v>
      </c>
      <c r="V1" s="114" t="s">
        <v>1549</v>
      </c>
    </row>
    <row r="2" spans="1:22" ht="15.6">
      <c r="A2" s="112" t="s">
        <v>686</v>
      </c>
      <c r="B2" s="112" t="s">
        <v>687</v>
      </c>
      <c r="C2" s="112" t="s">
        <v>116</v>
      </c>
      <c r="D2" s="112" t="s">
        <v>121</v>
      </c>
      <c r="E2" s="109">
        <v>0</v>
      </c>
      <c r="F2" s="109" t="s">
        <v>1550</v>
      </c>
      <c r="G2" s="109" t="s">
        <v>1550</v>
      </c>
      <c r="H2" s="109" t="s">
        <v>1550</v>
      </c>
      <c r="I2" s="109" t="s">
        <v>1550</v>
      </c>
      <c r="J2" s="109" t="s">
        <v>1550</v>
      </c>
      <c r="K2" s="109" t="s">
        <v>1550</v>
      </c>
      <c r="L2" s="109" t="s">
        <v>1550</v>
      </c>
      <c r="M2" s="109">
        <v>1.5445864557301757E-3</v>
      </c>
      <c r="N2" s="111">
        <v>0</v>
      </c>
      <c r="O2" s="111">
        <v>0</v>
      </c>
      <c r="P2" s="111">
        <v>0</v>
      </c>
      <c r="Q2" s="111">
        <v>0</v>
      </c>
      <c r="R2" s="111">
        <v>0</v>
      </c>
      <c r="S2" s="111">
        <v>0</v>
      </c>
      <c r="T2" s="111">
        <v>0</v>
      </c>
      <c r="U2" s="111">
        <v>0</v>
      </c>
      <c r="V2" s="111" t="s">
        <v>1550</v>
      </c>
    </row>
    <row r="3" spans="1:22" ht="15.6">
      <c r="A3" s="110" t="s">
        <v>317</v>
      </c>
      <c r="B3" s="110" t="s">
        <v>318</v>
      </c>
      <c r="C3" s="110" t="s">
        <v>118</v>
      </c>
      <c r="D3" s="110" t="s">
        <v>319</v>
      </c>
      <c r="E3" s="109">
        <v>81.319999999999993</v>
      </c>
      <c r="F3" s="109">
        <v>2.8414218932941997E-3</v>
      </c>
      <c r="G3" s="109">
        <v>7.2756950227875102E-3</v>
      </c>
      <c r="H3" s="109">
        <v>1.0524462566044598E-2</v>
      </c>
      <c r="I3" s="109">
        <v>5.7403894224216196E-3</v>
      </c>
      <c r="J3" s="109">
        <v>7.5434074584291499E-3</v>
      </c>
      <c r="K3" s="109">
        <v>3.8119098770245303E-4</v>
      </c>
      <c r="L3" s="109">
        <v>4.9535052949228999E-3</v>
      </c>
      <c r="M3" s="109">
        <v>4.9535052949228999E-3</v>
      </c>
      <c r="N3" s="108">
        <v>3.3897898072255002E-4</v>
      </c>
      <c r="O3" s="108">
        <v>2.1157523313809303E-3</v>
      </c>
      <c r="P3" s="108">
        <v>1.14228819753075E-3</v>
      </c>
      <c r="Q3" s="108">
        <v>8.1680292728313205E-4</v>
      </c>
      <c r="R3" s="108">
        <v>2.1760687562972E-3</v>
      </c>
      <c r="S3" s="108">
        <v>4.3671626380425996E-3</v>
      </c>
      <c r="T3" s="108">
        <v>8.5102533694228592E-3</v>
      </c>
      <c r="U3" s="108">
        <v>2.4437850407606803E-2</v>
      </c>
      <c r="V3" s="108">
        <v>9.3125275498000502E-3</v>
      </c>
    </row>
    <row r="4" spans="1:22" ht="15.6">
      <c r="A4" s="110" t="s">
        <v>326</v>
      </c>
      <c r="B4" s="110" t="s">
        <v>327</v>
      </c>
      <c r="C4" s="110" t="s">
        <v>119</v>
      </c>
      <c r="D4" s="110" t="s">
        <v>325</v>
      </c>
      <c r="E4" s="109">
        <v>64.16</v>
      </c>
      <c r="F4" s="109">
        <v>9.6517008532958203E-3</v>
      </c>
      <c r="G4" s="109">
        <v>1.61247509881676E-2</v>
      </c>
      <c r="H4" s="109">
        <v>2.5857662574309402E-2</v>
      </c>
      <c r="I4" s="109">
        <v>5.3558496666204804E-3</v>
      </c>
      <c r="J4" s="109">
        <v>2.7046824998704197E-3</v>
      </c>
      <c r="K4" s="109">
        <v>3.4530025448572095E-4</v>
      </c>
      <c r="L4" s="109">
        <v>4.1849952688899905E-3</v>
      </c>
      <c r="M4" s="109">
        <v>4.1849952688899905E-3</v>
      </c>
      <c r="N4" s="108">
        <v>3.5662130540101801E-4</v>
      </c>
      <c r="O4" s="108">
        <v>1.01383317231055E-3</v>
      </c>
      <c r="P4" s="108">
        <v>1.1505576762190501E-3</v>
      </c>
      <c r="Q4" s="108">
        <v>3.4328693083119803E-4</v>
      </c>
      <c r="R4" s="108">
        <v>3.9793503275201901E-4</v>
      </c>
      <c r="S4" s="108">
        <v>1.2826097557389301E-3</v>
      </c>
      <c r="T4" s="108">
        <v>1.9684735582238201E-3</v>
      </c>
      <c r="U4" s="108">
        <v>8.6536185119954097E-3</v>
      </c>
      <c r="V4" s="108">
        <v>8.3374449899520902E-3</v>
      </c>
    </row>
    <row r="5" spans="1:22" ht="15.6">
      <c r="A5" s="110" t="s">
        <v>320</v>
      </c>
      <c r="B5" s="110" t="s">
        <v>321</v>
      </c>
      <c r="C5" s="110" t="s">
        <v>115</v>
      </c>
      <c r="D5" s="110" t="s">
        <v>322</v>
      </c>
      <c r="E5" s="109">
        <v>464.74</v>
      </c>
      <c r="F5" s="109">
        <v>5.3203702921978103E-5</v>
      </c>
      <c r="G5" s="109">
        <v>3.6101686842293195E-4</v>
      </c>
      <c r="H5" s="109">
        <v>1.0631955421783201E-3</v>
      </c>
      <c r="I5" s="109">
        <v>7.9152327348940005E-5</v>
      </c>
      <c r="J5" s="109">
        <v>6.2159456328514705E-3</v>
      </c>
      <c r="K5" s="109">
        <v>5.4580742519175099E-4</v>
      </c>
      <c r="L5" s="109">
        <v>3.2940344611634797E-3</v>
      </c>
      <c r="M5" s="109">
        <v>3.2940344611634797E-3</v>
      </c>
      <c r="N5" s="108">
        <v>3.7502641585172103E-3</v>
      </c>
      <c r="O5" s="108">
        <v>5.4748236010470899E-3</v>
      </c>
      <c r="P5" s="108">
        <v>1.5147301911008101E-2</v>
      </c>
      <c r="Q5" s="108">
        <v>1.1258681914148401E-3</v>
      </c>
      <c r="R5" s="108">
        <v>2.27155691138061E-3</v>
      </c>
      <c r="S5" s="108">
        <v>2.3745752023086999E-4</v>
      </c>
      <c r="T5" s="108">
        <v>1.0618959523325699E-2</v>
      </c>
      <c r="U5" s="108">
        <v>3.8754635585679098E-2</v>
      </c>
      <c r="V5" s="108">
        <v>3.8294319076735701E-2</v>
      </c>
    </row>
    <row r="6" spans="1:22" ht="15.6">
      <c r="A6" s="110" t="s">
        <v>688</v>
      </c>
      <c r="B6" s="110" t="s">
        <v>689</v>
      </c>
      <c r="C6" s="110" t="s">
        <v>115</v>
      </c>
      <c r="D6" s="110" t="s">
        <v>121</v>
      </c>
      <c r="E6" s="109">
        <v>3505.99</v>
      </c>
      <c r="F6" s="109">
        <v>1.0336678948681499E-5</v>
      </c>
      <c r="G6" s="109">
        <v>8.1370666266239993E-6</v>
      </c>
      <c r="H6" s="109">
        <v>1.47327547464717E-5</v>
      </c>
      <c r="I6" s="109">
        <v>2.8146418984497102E-5</v>
      </c>
      <c r="J6" s="109">
        <v>2.4784545463115899E-3</v>
      </c>
      <c r="K6" s="109">
        <v>7.7626670838190604E-4</v>
      </c>
      <c r="L6" s="109">
        <v>1.2176570506894E-3</v>
      </c>
      <c r="M6" s="109">
        <v>1.2176570506894E-3</v>
      </c>
      <c r="N6" s="108">
        <v>2.2268818290189798E-3</v>
      </c>
      <c r="O6" s="108">
        <v>3.5172407271021502E-3</v>
      </c>
      <c r="P6" s="108">
        <v>1.2950562533052901E-3</v>
      </c>
      <c r="Q6" s="108">
        <v>7.9493719402341399E-4</v>
      </c>
      <c r="R6" s="108">
        <v>8.6101728095455698E-4</v>
      </c>
      <c r="S6" s="108">
        <v>6.0095124369784496E-4</v>
      </c>
      <c r="T6" s="108">
        <v>4.2597852737732899E-3</v>
      </c>
      <c r="U6" s="108">
        <v>1.49759011042835E-2</v>
      </c>
      <c r="V6" s="108">
        <v>3.3997680064901899E-2</v>
      </c>
    </row>
    <row r="7" spans="1:22" ht="15.6">
      <c r="A7" s="110" t="s">
        <v>660</v>
      </c>
      <c r="B7" s="110" t="s">
        <v>661</v>
      </c>
      <c r="C7" s="110" t="s">
        <v>117</v>
      </c>
      <c r="D7" s="110" t="s">
        <v>121</v>
      </c>
      <c r="E7" s="109">
        <v>2351.81</v>
      </c>
      <c r="F7" s="109">
        <v>8.9904052887023088E-5</v>
      </c>
      <c r="G7" s="109">
        <v>2.0953333432537898E-5</v>
      </c>
      <c r="H7" s="109">
        <v>6.3667224266458202E-4</v>
      </c>
      <c r="I7" s="109">
        <v>7.9886297797901695E-5</v>
      </c>
      <c r="J7" s="109">
        <v>4.3999647647722205E-3</v>
      </c>
      <c r="K7" s="109">
        <v>9.2307030330573102E-4</v>
      </c>
      <c r="L7" s="109">
        <v>2.1918618819916098E-3</v>
      </c>
      <c r="M7" s="109">
        <v>2.1918618819916098E-3</v>
      </c>
      <c r="N7" s="108">
        <v>7.0409995525175706E-4</v>
      </c>
      <c r="O7" s="108">
        <v>2.8220084262935599E-3</v>
      </c>
      <c r="P7" s="108">
        <v>1.2643974067434399E-3</v>
      </c>
      <c r="Q7" s="108">
        <v>1.0225151105492899E-3</v>
      </c>
      <c r="R7" s="108">
        <v>1.69359902052128E-3</v>
      </c>
      <c r="S7" s="108">
        <v>1.2777299835212599E-3</v>
      </c>
      <c r="T7" s="108">
        <v>6.4221538065265494E-3</v>
      </c>
      <c r="U7" s="108">
        <v>1.5597130324463401E-2</v>
      </c>
      <c r="V7" s="108">
        <v>1.9009498114859299E-2</v>
      </c>
    </row>
    <row r="8" spans="1:22" ht="15.6">
      <c r="A8" s="110" t="s">
        <v>330</v>
      </c>
      <c r="B8" s="110" t="s">
        <v>331</v>
      </c>
      <c r="C8" s="110" t="s">
        <v>116</v>
      </c>
      <c r="D8" s="110" t="s">
        <v>322</v>
      </c>
      <c r="E8" s="109">
        <v>1044.77</v>
      </c>
      <c r="F8" s="109">
        <v>5.21220585664676E-5</v>
      </c>
      <c r="G8" s="109">
        <v>1.34593187371715E-4</v>
      </c>
      <c r="H8" s="109">
        <v>5.4372030430725998E-4</v>
      </c>
      <c r="I8" s="109">
        <v>3.3204930389699904E-4</v>
      </c>
      <c r="J8" s="109">
        <v>4.2277584336229499E-3</v>
      </c>
      <c r="K8" s="109">
        <v>9.1706805304484309E-4</v>
      </c>
      <c r="L8" s="109">
        <v>4.44767617353532E-3</v>
      </c>
      <c r="M8" s="109">
        <v>4.44767617353532E-3</v>
      </c>
      <c r="N8" s="108">
        <v>1.5177097785054202E-3</v>
      </c>
      <c r="O8" s="108">
        <v>6.1124257361695094E-3</v>
      </c>
      <c r="P8" s="108">
        <v>3.0701150844516501E-3</v>
      </c>
      <c r="Q8" s="108">
        <v>1.2827139960354601E-3</v>
      </c>
      <c r="R8" s="108">
        <v>9.4794417372459606E-4</v>
      </c>
      <c r="S8" s="108">
        <v>1.3510761017098301E-3</v>
      </c>
      <c r="T8" s="108">
        <v>5.0607337696120499E-3</v>
      </c>
      <c r="U8" s="108">
        <v>2.15695174433185E-2</v>
      </c>
      <c r="V8" s="108">
        <v>2.9420340566465902E-2</v>
      </c>
    </row>
    <row r="9" spans="1:22" ht="15.6">
      <c r="A9" s="110" t="s">
        <v>332</v>
      </c>
      <c r="B9" s="110" t="s">
        <v>333</v>
      </c>
      <c r="C9" s="110" t="s">
        <v>115</v>
      </c>
      <c r="D9" s="110" t="s">
        <v>322</v>
      </c>
      <c r="E9" s="109">
        <v>612.78</v>
      </c>
      <c r="F9" s="109">
        <v>1.2199260238696401E-4</v>
      </c>
      <c r="G9" s="109">
        <v>7.2177790302259892E-4</v>
      </c>
      <c r="H9" s="109">
        <v>4.31730588937877E-4</v>
      </c>
      <c r="I9" s="109">
        <v>2.19130560753848E-4</v>
      </c>
      <c r="J9" s="109">
        <v>8.0498140574148998E-3</v>
      </c>
      <c r="K9" s="109">
        <v>1.0026977054023E-3</v>
      </c>
      <c r="L9" s="109">
        <v>1.77902291653008E-3</v>
      </c>
      <c r="M9" s="109">
        <v>1.77902291653008E-3</v>
      </c>
      <c r="N9" s="108">
        <v>2.0538829022129401E-3</v>
      </c>
      <c r="O9" s="108">
        <v>5.0028810716944098E-3</v>
      </c>
      <c r="P9" s="108">
        <v>6.1059313263203607E-3</v>
      </c>
      <c r="Q9" s="108">
        <v>1.5126141026862001E-3</v>
      </c>
      <c r="R9" s="108">
        <v>3.1487515549744596E-3</v>
      </c>
      <c r="S9" s="108">
        <v>1.5626919360584899E-4</v>
      </c>
      <c r="T9" s="108">
        <v>1.5892611569441002E-2</v>
      </c>
      <c r="U9" s="108">
        <v>4.2560357957289401E-2</v>
      </c>
      <c r="V9" s="108">
        <v>4.2373122315848402E-2</v>
      </c>
    </row>
    <row r="10" spans="1:22" ht="15.6">
      <c r="A10" s="110" t="s">
        <v>739</v>
      </c>
      <c r="B10" s="110" t="s">
        <v>740</v>
      </c>
      <c r="C10" s="110" t="s">
        <v>114</v>
      </c>
      <c r="D10" s="110" t="s">
        <v>121</v>
      </c>
      <c r="E10" s="109">
        <v>0</v>
      </c>
      <c r="F10" s="109">
        <v>1.36779582204505E-4</v>
      </c>
      <c r="G10" s="109">
        <v>4.4750967967478901E-4</v>
      </c>
      <c r="H10" s="109">
        <v>2.24719459579046E-3</v>
      </c>
      <c r="I10" s="109">
        <v>1.6265685737226E-4</v>
      </c>
      <c r="J10" s="109">
        <v>9.3397416714241597E-3</v>
      </c>
      <c r="K10" s="109">
        <v>9.136100704594971E-4</v>
      </c>
      <c r="L10" s="109">
        <v>1.2425534054087799E-3</v>
      </c>
      <c r="M10" s="109">
        <v>1.2425534054087799E-3</v>
      </c>
      <c r="N10" s="108">
        <v>1.16791956861211E-3</v>
      </c>
      <c r="O10" s="108">
        <v>5.3952769599715893E-3</v>
      </c>
      <c r="P10" s="108">
        <v>2.4071874388080501E-3</v>
      </c>
      <c r="Q10" s="108">
        <v>1.7140950156796899E-3</v>
      </c>
      <c r="R10" s="108">
        <v>1.6201719570795099E-3</v>
      </c>
      <c r="S10" s="108">
        <v>4.0918431787149E-3</v>
      </c>
      <c r="T10" s="108">
        <v>8.3675183790297095E-3</v>
      </c>
      <c r="U10" s="108">
        <v>2.9764514085648997E-2</v>
      </c>
      <c r="V10" s="108">
        <v>3.2003980189678503E-2</v>
      </c>
    </row>
    <row r="11" spans="1:22" ht="15.6">
      <c r="A11" s="110" t="s">
        <v>328</v>
      </c>
      <c r="B11" s="110" t="s">
        <v>329</v>
      </c>
      <c r="C11" s="110" t="s">
        <v>116</v>
      </c>
      <c r="D11" s="110" t="s">
        <v>121</v>
      </c>
      <c r="E11" s="109">
        <v>923.41</v>
      </c>
      <c r="F11" s="109">
        <v>2.5201075869346601E-4</v>
      </c>
      <c r="G11" s="109">
        <v>4.26799449947576E-4</v>
      </c>
      <c r="H11" s="109">
        <v>1.5859684133153601E-3</v>
      </c>
      <c r="I11" s="109">
        <v>4.8829618287430103E-4</v>
      </c>
      <c r="J11" s="109">
        <v>2.6035193438453202E-3</v>
      </c>
      <c r="K11" s="109">
        <v>2.25507821446681E-4</v>
      </c>
      <c r="L11" s="109">
        <v>1.1465148004488699E-3</v>
      </c>
      <c r="M11" s="109">
        <v>1.1465148004488699E-3</v>
      </c>
      <c r="N11" s="108">
        <v>8.0931561707946794E-4</v>
      </c>
      <c r="O11" s="108">
        <v>2.4629141521391698E-3</v>
      </c>
      <c r="P11" s="108">
        <v>2.4332780614730299E-3</v>
      </c>
      <c r="Q11" s="108">
        <v>1.24018064820847E-3</v>
      </c>
      <c r="R11" s="108">
        <v>8.634353987139841E-4</v>
      </c>
      <c r="S11" s="108">
        <v>2.0288069003326099E-3</v>
      </c>
      <c r="T11" s="108">
        <v>6.6930767022140196E-3</v>
      </c>
      <c r="U11" s="108">
        <v>2.1096499052316E-2</v>
      </c>
      <c r="V11" s="108">
        <v>1.1571021831610798E-2</v>
      </c>
    </row>
    <row r="12" spans="1:22" ht="15.6">
      <c r="A12" s="110" t="s">
        <v>334</v>
      </c>
      <c r="B12" s="110" t="s">
        <v>335</v>
      </c>
      <c r="C12" s="110" t="s">
        <v>114</v>
      </c>
      <c r="D12" s="110" t="s">
        <v>121</v>
      </c>
      <c r="E12" s="109">
        <v>7055.37</v>
      </c>
      <c r="F12" s="109">
        <v>2.00691819690722E-5</v>
      </c>
      <c r="G12" s="109">
        <v>2.3710900874683101E-5</v>
      </c>
      <c r="H12" s="109">
        <v>1.11345775518672E-4</v>
      </c>
      <c r="I12" s="109">
        <v>3.94487070384523E-5</v>
      </c>
      <c r="J12" s="109">
        <v>1.6789827060539801E-3</v>
      </c>
      <c r="K12" s="109">
        <v>7.24658203893932E-4</v>
      </c>
      <c r="L12" s="109">
        <v>2.21679352380968E-3</v>
      </c>
      <c r="M12" s="109">
        <v>2.21679352380968E-3</v>
      </c>
      <c r="N12" s="108">
        <v>2.0062654054548699E-3</v>
      </c>
      <c r="O12" s="108">
        <v>4.4429202390808701E-3</v>
      </c>
      <c r="P12" s="108">
        <v>8.8055409395200305E-4</v>
      </c>
      <c r="Q12" s="108">
        <v>6.7329964494508207E-4</v>
      </c>
      <c r="R12" s="108">
        <v>1.4306543224384899E-3</v>
      </c>
      <c r="S12" s="108">
        <v>9.4268586222097698E-4</v>
      </c>
      <c r="T12" s="108">
        <v>3.6276622155722998E-3</v>
      </c>
      <c r="U12" s="108">
        <v>1.5984807132549E-2</v>
      </c>
      <c r="V12" s="108">
        <v>2.0878787688617798E-2</v>
      </c>
    </row>
    <row r="13" spans="1:22" ht="15.6">
      <c r="A13" s="110" t="s">
        <v>336</v>
      </c>
      <c r="B13" s="110" t="s">
        <v>337</v>
      </c>
      <c r="C13" s="110" t="s">
        <v>115</v>
      </c>
      <c r="D13" s="110" t="s">
        <v>121</v>
      </c>
      <c r="E13" s="109">
        <v>6504.81</v>
      </c>
      <c r="F13" s="109">
        <v>1.32635490140801E-5</v>
      </c>
      <c r="G13" s="109">
        <v>4.96663072334191E-5</v>
      </c>
      <c r="H13" s="109">
        <v>2.01447968678804E-5</v>
      </c>
      <c r="I13" s="109">
        <v>1.6761947319960599E-5</v>
      </c>
      <c r="J13" s="109">
        <v>3.16764426560606E-3</v>
      </c>
      <c r="K13" s="109">
        <v>7.4466363532413196E-4</v>
      </c>
      <c r="L13" s="109">
        <v>2.0483419562885899E-3</v>
      </c>
      <c r="M13" s="109">
        <v>2.0483419562885899E-3</v>
      </c>
      <c r="N13" s="108">
        <v>2.7281307283560396E-3</v>
      </c>
      <c r="O13" s="108">
        <v>4.3961601859599806E-3</v>
      </c>
      <c r="P13" s="108">
        <v>3.8082915260336399E-3</v>
      </c>
      <c r="Q13" s="108">
        <v>9.0514701067982901E-4</v>
      </c>
      <c r="R13" s="108">
        <v>1.2086767995917501E-3</v>
      </c>
      <c r="S13" s="108">
        <v>1.27726757892904E-3</v>
      </c>
      <c r="T13" s="108">
        <v>5.1538056127845202E-3</v>
      </c>
      <c r="U13" s="108">
        <v>2.2380733339958901E-2</v>
      </c>
      <c r="V13" s="108">
        <v>3.4951907648405396E-2</v>
      </c>
    </row>
    <row r="14" spans="1:22" ht="15.6">
      <c r="A14" s="110" t="s">
        <v>338</v>
      </c>
      <c r="B14" s="110" t="s">
        <v>339</v>
      </c>
      <c r="C14" s="110" t="s">
        <v>115</v>
      </c>
      <c r="D14" s="110" t="s">
        <v>322</v>
      </c>
      <c r="E14" s="109">
        <v>249.08</v>
      </c>
      <c r="F14" s="109">
        <v>1.4403035823096802E-4</v>
      </c>
      <c r="G14" s="109">
        <v>1.1633928739901301E-3</v>
      </c>
      <c r="H14" s="109">
        <v>1.3694091328027801E-3</v>
      </c>
      <c r="I14" s="109">
        <v>5.20693437343768E-4</v>
      </c>
      <c r="J14" s="109">
        <v>9.9054357587370495E-3</v>
      </c>
      <c r="K14" s="109">
        <v>5.5826744014870794E-4</v>
      </c>
      <c r="L14" s="109">
        <v>1.9138081669078499E-3</v>
      </c>
      <c r="M14" s="109">
        <v>1.9138081669078499E-3</v>
      </c>
      <c r="N14" s="108">
        <v>2.9467125593748101E-3</v>
      </c>
      <c r="O14" s="108">
        <v>4.5813374122117001E-3</v>
      </c>
      <c r="P14" s="108">
        <v>6.6185231215027604E-3</v>
      </c>
      <c r="Q14" s="108">
        <v>1.3798703003440899E-3</v>
      </c>
      <c r="R14" s="108">
        <v>6.31165223681037E-3</v>
      </c>
      <c r="S14" s="108">
        <v>2.6580057697090802E-4</v>
      </c>
      <c r="T14" s="108">
        <v>1.6051052939919801E-2</v>
      </c>
      <c r="U14" s="108">
        <v>4.4902268070296507E-2</v>
      </c>
      <c r="V14" s="108">
        <v>3.5906870545710602E-2</v>
      </c>
    </row>
    <row r="15" spans="1:22" ht="15.6">
      <c r="A15" s="110" t="s">
        <v>370</v>
      </c>
      <c r="B15" s="110" t="s">
        <v>371</v>
      </c>
      <c r="C15" s="110" t="s">
        <v>119</v>
      </c>
      <c r="D15" s="110" t="s">
        <v>319</v>
      </c>
      <c r="E15" s="109">
        <v>24.27</v>
      </c>
      <c r="F15" s="109">
        <v>1.8732259231904799E-2</v>
      </c>
      <c r="G15" s="109">
        <v>3.6520347878336502E-2</v>
      </c>
      <c r="H15" s="109">
        <v>4.9107902880049098E-2</v>
      </c>
      <c r="I15" s="109">
        <v>6.8040602651529298E-3</v>
      </c>
      <c r="J15" s="109">
        <v>1.4361176974198599E-3</v>
      </c>
      <c r="K15" s="109">
        <v>7.8366889253069405E-4</v>
      </c>
      <c r="L15" s="109">
        <v>5.2325595512420003E-3</v>
      </c>
      <c r="M15" s="109">
        <v>5.2325595512420003E-3</v>
      </c>
      <c r="N15" s="108">
        <v>2.9271023996213101E-4</v>
      </c>
      <c r="O15" s="108">
        <v>2.5583046839675798E-4</v>
      </c>
      <c r="P15" s="108">
        <v>2.2820194810836102E-3</v>
      </c>
      <c r="Q15" s="108">
        <v>2.26104447274071E-4</v>
      </c>
      <c r="R15" s="108">
        <v>4.4276863847408302E-4</v>
      </c>
      <c r="S15" s="108">
        <v>1.9733700297773801E-3</v>
      </c>
      <c r="T15" s="108">
        <v>2.33275279674614E-3</v>
      </c>
      <c r="U15" s="108">
        <v>8.9977288310424796E-3</v>
      </c>
      <c r="V15" s="108">
        <v>7.7000369678668903E-3</v>
      </c>
    </row>
    <row r="16" spans="1:22" ht="15.6">
      <c r="A16" s="110" t="s">
        <v>348</v>
      </c>
      <c r="B16" s="110" t="s">
        <v>349</v>
      </c>
      <c r="C16" s="110" t="s">
        <v>115</v>
      </c>
      <c r="D16" s="110" t="s">
        <v>121</v>
      </c>
      <c r="E16" s="109">
        <v>5680.23</v>
      </c>
      <c r="F16" s="109">
        <v>3.0205345145710399E-5</v>
      </c>
      <c r="G16" s="109">
        <v>3.5408017893512E-5</v>
      </c>
      <c r="H16" s="109">
        <v>5.8906651929918701E-5</v>
      </c>
      <c r="I16" s="109">
        <v>6.1686100739435299E-5</v>
      </c>
      <c r="J16" s="109">
        <v>2.8419805586561604E-3</v>
      </c>
      <c r="K16" s="109">
        <v>1.0267540969578E-3</v>
      </c>
      <c r="L16" s="109">
        <v>1.17990290440001E-3</v>
      </c>
      <c r="M16" s="109">
        <v>1.17990290440001E-3</v>
      </c>
      <c r="N16" s="108">
        <v>2.7809959849106601E-3</v>
      </c>
      <c r="O16" s="108">
        <v>4.3172070149430199E-3</v>
      </c>
      <c r="P16" s="108">
        <v>2.6422236294335799E-3</v>
      </c>
      <c r="Q16" s="108">
        <v>9.1288656865445308E-4</v>
      </c>
      <c r="R16" s="108">
        <v>1.44580916306066E-3</v>
      </c>
      <c r="S16" s="108">
        <v>7.0172356458911192E-4</v>
      </c>
      <c r="T16" s="108">
        <v>4.9198006777525999E-3</v>
      </c>
      <c r="U16" s="108">
        <v>1.9971320439994701E-2</v>
      </c>
      <c r="V16" s="108">
        <v>4.0311751729584601E-2</v>
      </c>
    </row>
    <row r="17" spans="1:22" ht="15.6">
      <c r="A17" s="110" t="s">
        <v>352</v>
      </c>
      <c r="B17" s="110" t="s">
        <v>353</v>
      </c>
      <c r="C17" s="110" t="s">
        <v>119</v>
      </c>
      <c r="D17" s="110" t="s">
        <v>325</v>
      </c>
      <c r="E17" s="109">
        <v>35.130000000000003</v>
      </c>
      <c r="F17" s="109">
        <v>9.2057508764907103E-3</v>
      </c>
      <c r="G17" s="109">
        <v>1.8215813250202301E-2</v>
      </c>
      <c r="H17" s="109">
        <v>2.4069654859211601E-2</v>
      </c>
      <c r="I17" s="109">
        <v>9.9283477141310101E-3</v>
      </c>
      <c r="J17" s="109">
        <v>2.5648284411821901E-3</v>
      </c>
      <c r="K17" s="109">
        <v>5.0173164660229606E-4</v>
      </c>
      <c r="L17" s="109">
        <v>2.0145422466403599E-3</v>
      </c>
      <c r="M17" s="109">
        <v>2.0145422466403599E-3</v>
      </c>
      <c r="N17" s="108">
        <v>4.9106871191981097E-4</v>
      </c>
      <c r="O17" s="108">
        <v>4.4995673349756401E-4</v>
      </c>
      <c r="P17" s="108">
        <v>1.5977376655027899E-3</v>
      </c>
      <c r="Q17" s="108">
        <v>3.0287946143879102E-4</v>
      </c>
      <c r="R17" s="108">
        <v>3.89127225344897E-4</v>
      </c>
      <c r="S17" s="108">
        <v>1.1346019637535399E-3</v>
      </c>
      <c r="T17" s="108">
        <v>1.64904063585715E-3</v>
      </c>
      <c r="U17" s="108">
        <v>8.2892324515358405E-3</v>
      </c>
      <c r="V17" s="108">
        <v>4.57909740100925E-3</v>
      </c>
    </row>
    <row r="18" spans="1:22" ht="15.6">
      <c r="A18" s="110" t="s">
        <v>368</v>
      </c>
      <c r="B18" s="110" t="s">
        <v>369</v>
      </c>
      <c r="C18" s="110" t="s">
        <v>119</v>
      </c>
      <c r="D18" s="110" t="s">
        <v>319</v>
      </c>
      <c r="E18" s="109">
        <v>56.95</v>
      </c>
      <c r="F18" s="109">
        <v>1.49948174698839E-2</v>
      </c>
      <c r="G18" s="109">
        <v>3.0622444177804901E-2</v>
      </c>
      <c r="H18" s="109">
        <v>4.0445709406014295E-2</v>
      </c>
      <c r="I18" s="109">
        <v>1.6428403060147902E-2</v>
      </c>
      <c r="J18" s="109">
        <v>3.9247960821315398E-3</v>
      </c>
      <c r="K18" s="109">
        <v>4.0279175499248503E-4</v>
      </c>
      <c r="L18" s="109">
        <v>1.20900941914233E-3</v>
      </c>
      <c r="M18" s="109">
        <v>1.20900941914233E-3</v>
      </c>
      <c r="N18" s="108">
        <v>5.32436218820875E-4</v>
      </c>
      <c r="O18" s="108">
        <v>1.0430200018861099E-3</v>
      </c>
      <c r="P18" s="108">
        <v>1.46933490310556E-3</v>
      </c>
      <c r="Q18" s="108">
        <v>3.6491226730518299E-4</v>
      </c>
      <c r="R18" s="108">
        <v>4.7382357194385697E-4</v>
      </c>
      <c r="S18" s="108">
        <v>1.79698017400814E-3</v>
      </c>
      <c r="T18" s="108">
        <v>2.1876601343225098E-3</v>
      </c>
      <c r="U18" s="108">
        <v>1.02999832244776E-2</v>
      </c>
      <c r="V18" s="108">
        <v>4.6043960728136E-3</v>
      </c>
    </row>
    <row r="19" spans="1:22" ht="15.6">
      <c r="A19" s="110" t="s">
        <v>342</v>
      </c>
      <c r="B19" s="110" t="s">
        <v>343</v>
      </c>
      <c r="C19" s="110" t="s">
        <v>118</v>
      </c>
      <c r="D19" s="110" t="s">
        <v>325</v>
      </c>
      <c r="E19" s="109">
        <v>57.94</v>
      </c>
      <c r="F19" s="109">
        <v>1.9291323924642101E-3</v>
      </c>
      <c r="G19" s="109">
        <v>4.1108319479417994E-3</v>
      </c>
      <c r="H19" s="109">
        <v>6.1812515075948208E-3</v>
      </c>
      <c r="I19" s="109">
        <v>1.93681369515665E-3</v>
      </c>
      <c r="J19" s="109">
        <v>4.69663966158026E-3</v>
      </c>
      <c r="K19" s="109">
        <v>1.3978686814883001E-3</v>
      </c>
      <c r="L19" s="109">
        <v>4.5844957007224298E-3</v>
      </c>
      <c r="M19" s="109">
        <v>4.5844957007224298E-3</v>
      </c>
      <c r="N19" s="108">
        <v>1.0460395892831901E-3</v>
      </c>
      <c r="O19" s="108">
        <v>5.44067736872426E-4</v>
      </c>
      <c r="P19" s="108">
        <v>3.0605354143159601E-3</v>
      </c>
      <c r="Q19" s="108">
        <v>8.1964465729289504E-4</v>
      </c>
      <c r="R19" s="108">
        <v>1.9818125386185698E-3</v>
      </c>
      <c r="S19" s="108">
        <v>3.66196635944731E-3</v>
      </c>
      <c r="T19" s="108">
        <v>2.6010326263774799E-3</v>
      </c>
      <c r="U19" s="108">
        <v>2.2098315513906602E-2</v>
      </c>
      <c r="V19" s="108">
        <v>1.8045752022174798E-2</v>
      </c>
    </row>
    <row r="20" spans="1:22" ht="15.6">
      <c r="A20" s="110" t="s">
        <v>366</v>
      </c>
      <c r="B20" s="110" t="s">
        <v>367</v>
      </c>
      <c r="C20" s="110" t="s">
        <v>115</v>
      </c>
      <c r="D20" s="110" t="s">
        <v>322</v>
      </c>
      <c r="E20" s="109">
        <v>1040.02</v>
      </c>
      <c r="F20" s="109">
        <v>2.5559124543500703E-5</v>
      </c>
      <c r="G20" s="109">
        <v>4.6600241809575999E-5</v>
      </c>
      <c r="H20" s="109">
        <v>5.2172529351112904E-4</v>
      </c>
      <c r="I20" s="109">
        <v>7.0132312224841791E-5</v>
      </c>
      <c r="J20" s="109">
        <v>1.02022465523295E-2</v>
      </c>
      <c r="K20" s="109">
        <v>1.1165788303451E-3</v>
      </c>
      <c r="L20" s="109">
        <v>1.9717018339446401E-3</v>
      </c>
      <c r="M20" s="109">
        <v>1.9717018339446401E-3</v>
      </c>
      <c r="N20" s="108">
        <v>5.9647359867009003E-3</v>
      </c>
      <c r="O20" s="108">
        <v>1.5304792802434299E-2</v>
      </c>
      <c r="P20" s="108">
        <v>3.69344735557516E-2</v>
      </c>
      <c r="Q20" s="108">
        <v>2.4571303979219398E-3</v>
      </c>
      <c r="R20" s="108">
        <v>4.6229233443874701E-3</v>
      </c>
      <c r="S20" s="108">
        <v>9.9140484200665189E-4</v>
      </c>
      <c r="T20" s="108">
        <v>1.9478845553208602E-2</v>
      </c>
      <c r="U20" s="108">
        <v>9.3962710327511301E-2</v>
      </c>
      <c r="V20" s="108">
        <v>8.2486877325802593E-2</v>
      </c>
    </row>
    <row r="21" spans="1:22" ht="15.6">
      <c r="A21" s="110" t="s">
        <v>690</v>
      </c>
      <c r="B21" s="110" t="s">
        <v>691</v>
      </c>
      <c r="C21" s="110" t="s">
        <v>117</v>
      </c>
      <c r="D21" s="110" t="s">
        <v>121</v>
      </c>
      <c r="E21" s="109">
        <v>1146.47</v>
      </c>
      <c r="F21" s="109">
        <v>1.1960875693962701E-4</v>
      </c>
      <c r="G21" s="109">
        <v>1.6559491155152797E-4</v>
      </c>
      <c r="H21" s="109">
        <v>8.6242351019615992E-4</v>
      </c>
      <c r="I21" s="109">
        <v>6.8841509063548707E-5</v>
      </c>
      <c r="J21" s="109">
        <v>3.7230798472355597E-3</v>
      </c>
      <c r="K21" s="109">
        <v>3.0413881785506196E-4</v>
      </c>
      <c r="L21" s="109">
        <v>2.8320410118300799E-3</v>
      </c>
      <c r="M21" s="109">
        <v>2.8320410118300799E-3</v>
      </c>
      <c r="N21" s="108">
        <v>8.3184884387998092E-4</v>
      </c>
      <c r="O21" s="108">
        <v>2.3043877855333599E-3</v>
      </c>
      <c r="P21" s="108">
        <v>6.9959163245470705E-4</v>
      </c>
      <c r="Q21" s="108">
        <v>1.2733039299448901E-3</v>
      </c>
      <c r="R21" s="108">
        <v>1.2903469641397001E-3</v>
      </c>
      <c r="S21" s="108">
        <v>2.69755613659144E-4</v>
      </c>
      <c r="T21" s="108">
        <v>5.8534107027031499E-3</v>
      </c>
      <c r="U21" s="108">
        <v>1.4439689557327899E-2</v>
      </c>
      <c r="V21" s="108">
        <v>1.3759312020711499E-2</v>
      </c>
    </row>
    <row r="22" spans="1:22" ht="15.6">
      <c r="A22" s="110" t="s">
        <v>340</v>
      </c>
      <c r="B22" s="110" t="s">
        <v>341</v>
      </c>
      <c r="C22" s="110" t="s">
        <v>116</v>
      </c>
      <c r="D22" s="110" t="s">
        <v>121</v>
      </c>
      <c r="E22" s="109">
        <v>1961.68</v>
      </c>
      <c r="F22" s="109">
        <v>1.7813559303941302E-4</v>
      </c>
      <c r="G22" s="109">
        <v>2.1632005910405798E-4</v>
      </c>
      <c r="H22" s="109">
        <v>1.26252800249681E-3</v>
      </c>
      <c r="I22" s="109">
        <v>3.8137293342112202E-4</v>
      </c>
      <c r="J22" s="109">
        <v>2.9196206032826304E-3</v>
      </c>
      <c r="K22" s="109">
        <v>2.0845370838236502E-4</v>
      </c>
      <c r="L22" s="109">
        <v>6.7934641234246404E-4</v>
      </c>
      <c r="M22" s="109">
        <v>6.7934641234246404E-4</v>
      </c>
      <c r="N22" s="108">
        <v>7.6969330633038793E-4</v>
      </c>
      <c r="O22" s="108">
        <v>4.1385929251858498E-3</v>
      </c>
      <c r="P22" s="108">
        <v>2.8874992784978797E-3</v>
      </c>
      <c r="Q22" s="108">
        <v>1.0953337523489201E-3</v>
      </c>
      <c r="R22" s="108">
        <v>1.08375824041457E-3</v>
      </c>
      <c r="S22" s="108">
        <v>1.56170246511228E-3</v>
      </c>
      <c r="T22" s="108">
        <v>6.65816507399551E-3</v>
      </c>
      <c r="U22" s="108">
        <v>2.2983422264442901E-2</v>
      </c>
      <c r="V22" s="108">
        <v>1.2336091470717299E-2</v>
      </c>
    </row>
    <row r="23" spans="1:22" ht="15.6">
      <c r="A23" s="110" t="s">
        <v>358</v>
      </c>
      <c r="B23" s="110" t="s">
        <v>359</v>
      </c>
      <c r="C23" s="110" t="s">
        <v>115</v>
      </c>
      <c r="D23" s="110" t="s">
        <v>322</v>
      </c>
      <c r="E23" s="109">
        <v>691.53</v>
      </c>
      <c r="F23" s="109">
        <v>3.5064702430548699E-5</v>
      </c>
      <c r="G23" s="109">
        <v>1.7664375095869701E-4</v>
      </c>
      <c r="H23" s="109">
        <v>5.7708548391880907E-4</v>
      </c>
      <c r="I23" s="109">
        <v>2.8297954659004599E-5</v>
      </c>
      <c r="J23" s="109">
        <v>9.1625007297543911E-3</v>
      </c>
      <c r="K23" s="109">
        <v>6.4407843092297793E-4</v>
      </c>
      <c r="L23" s="109">
        <v>2.4428636488697101E-3</v>
      </c>
      <c r="M23" s="109">
        <v>2.4428636488697101E-3</v>
      </c>
      <c r="N23" s="108">
        <v>4.2262081968415903E-3</v>
      </c>
      <c r="O23" s="108">
        <v>4.0401028635248899E-3</v>
      </c>
      <c r="P23" s="108">
        <v>1.7847318203822599E-2</v>
      </c>
      <c r="Q23" s="108">
        <v>1.7535862927388602E-3</v>
      </c>
      <c r="R23" s="108">
        <v>1.8168830809476798E-3</v>
      </c>
      <c r="S23" s="108">
        <v>1.06755143648182E-3</v>
      </c>
      <c r="T23" s="108">
        <v>1.0123712895184E-2</v>
      </c>
      <c r="U23" s="108">
        <v>4.8224808262552495E-2</v>
      </c>
      <c r="V23" s="108">
        <v>6.8117643352137602E-2</v>
      </c>
    </row>
    <row r="24" spans="1:22" ht="15.6">
      <c r="A24" s="110" t="s">
        <v>346</v>
      </c>
      <c r="B24" s="110" t="s">
        <v>347</v>
      </c>
      <c r="C24" s="110" t="s">
        <v>115</v>
      </c>
      <c r="D24" s="110" t="s">
        <v>322</v>
      </c>
      <c r="E24" s="109">
        <v>467.52</v>
      </c>
      <c r="F24" s="109">
        <v>4.3610668009748405E-5</v>
      </c>
      <c r="G24" s="109">
        <v>3.5807223504782102E-4</v>
      </c>
      <c r="H24" s="109">
        <v>4.8991801556365095E-4</v>
      </c>
      <c r="I24" s="109">
        <v>6.1406449107359308E-5</v>
      </c>
      <c r="J24" s="109">
        <v>5.8898382870828502E-3</v>
      </c>
      <c r="K24" s="109">
        <v>6.6324968926426196E-4</v>
      </c>
      <c r="L24" s="109">
        <v>1.7849609346196E-3</v>
      </c>
      <c r="M24" s="109">
        <v>1.7849609346196E-3</v>
      </c>
      <c r="N24" s="108">
        <v>5.7396647362656997E-3</v>
      </c>
      <c r="O24" s="108">
        <v>1.22774358113354E-2</v>
      </c>
      <c r="P24" s="108">
        <v>5.3062648410611493E-3</v>
      </c>
      <c r="Q24" s="108">
        <v>2.3569520127337401E-3</v>
      </c>
      <c r="R24" s="108">
        <v>4.4382983692392002E-3</v>
      </c>
      <c r="S24" s="108">
        <v>1.48191774416122E-3</v>
      </c>
      <c r="T24" s="108">
        <v>2.3688336519535801E-2</v>
      </c>
      <c r="U24" s="108">
        <v>7.1007502316527193E-2</v>
      </c>
      <c r="V24" s="108">
        <v>5.93052936266854E-2</v>
      </c>
    </row>
    <row r="25" spans="1:22" ht="15.6">
      <c r="A25" s="110" t="s">
        <v>350</v>
      </c>
      <c r="B25" s="110" t="s">
        <v>351</v>
      </c>
      <c r="C25" s="110" t="s">
        <v>116</v>
      </c>
      <c r="D25" s="110" t="s">
        <v>322</v>
      </c>
      <c r="E25" s="109">
        <v>310.2</v>
      </c>
      <c r="F25" s="109">
        <v>4.16545000103974E-4</v>
      </c>
      <c r="G25" s="109">
        <v>9.2661482374509501E-4</v>
      </c>
      <c r="H25" s="109">
        <v>2.38269998189483E-3</v>
      </c>
      <c r="I25" s="109">
        <v>7.5875738681915807E-4</v>
      </c>
      <c r="J25" s="109">
        <v>2.3329712233720701E-3</v>
      </c>
      <c r="K25" s="109">
        <v>4.20108667491446E-4</v>
      </c>
      <c r="L25" s="109">
        <v>2.2994467846895001E-3</v>
      </c>
      <c r="M25" s="109">
        <v>2.2994467846895001E-3</v>
      </c>
      <c r="N25" s="108">
        <v>5.9361095790926401E-4</v>
      </c>
      <c r="O25" s="108">
        <v>1.1585543701582801E-3</v>
      </c>
      <c r="P25" s="108">
        <v>1.4417972882091101E-3</v>
      </c>
      <c r="Q25" s="108">
        <v>6.1033037712646392E-4</v>
      </c>
      <c r="R25" s="108">
        <v>6.1186284781875402E-4</v>
      </c>
      <c r="S25" s="108">
        <v>1.5533030470907499E-3</v>
      </c>
      <c r="T25" s="108">
        <v>3.1166979279770497E-3</v>
      </c>
      <c r="U25" s="108">
        <v>1.0167663887557399E-2</v>
      </c>
      <c r="V25" s="108">
        <v>9.6872266485740696E-3</v>
      </c>
    </row>
    <row r="26" spans="1:22" ht="15.6">
      <c r="A26" s="110" t="s">
        <v>692</v>
      </c>
      <c r="B26" s="110" t="s">
        <v>693</v>
      </c>
      <c r="C26" s="110" t="s">
        <v>120</v>
      </c>
      <c r="D26" s="110" t="s">
        <v>121</v>
      </c>
      <c r="E26" s="109">
        <v>0</v>
      </c>
      <c r="F26" s="109">
        <v>2.1702747907287399E-4</v>
      </c>
      <c r="G26" s="109">
        <v>2.0093781742168301E-4</v>
      </c>
      <c r="H26" s="109">
        <v>1.52496778528026E-3</v>
      </c>
      <c r="I26" s="109">
        <v>2.4050186113990201E-4</v>
      </c>
      <c r="J26" s="109">
        <v>2.8888872588902002E-3</v>
      </c>
      <c r="K26" s="109">
        <v>4.7221264367950603E-4</v>
      </c>
      <c r="L26" s="109">
        <v>1.4043715628478401E-3</v>
      </c>
      <c r="M26" s="109">
        <v>1.4043715628478401E-3</v>
      </c>
      <c r="N26" s="108">
        <v>7.7942830410886502E-4</v>
      </c>
      <c r="O26" s="108">
        <v>4.8146640552638896E-3</v>
      </c>
      <c r="P26" s="108">
        <v>2.6500447107790899E-3</v>
      </c>
      <c r="Q26" s="108">
        <v>1.44537623067908E-3</v>
      </c>
      <c r="R26" s="108">
        <v>1.3165124817205E-3</v>
      </c>
      <c r="S26" s="108">
        <v>1.5741290856588601E-3</v>
      </c>
      <c r="T26" s="108">
        <v>7.2444607189653199E-3</v>
      </c>
      <c r="U26" s="108">
        <v>2.5833771919055899E-2</v>
      </c>
      <c r="V26" s="108">
        <v>2.2746894902289601E-2</v>
      </c>
    </row>
    <row r="27" spans="1:22" ht="15.6">
      <c r="A27" s="110" t="s">
        <v>356</v>
      </c>
      <c r="B27" s="110" t="s">
        <v>357</v>
      </c>
      <c r="C27" s="110" t="s">
        <v>116</v>
      </c>
      <c r="D27" s="110" t="s">
        <v>325</v>
      </c>
      <c r="E27" s="109">
        <v>272.95999999999998</v>
      </c>
      <c r="F27" s="109">
        <v>6.28384560322381E-4</v>
      </c>
      <c r="G27" s="109">
        <v>1.6167149437675301E-3</v>
      </c>
      <c r="H27" s="109">
        <v>3.0966983043269895E-3</v>
      </c>
      <c r="I27" s="109">
        <v>1.67835258968943E-3</v>
      </c>
      <c r="J27" s="109">
        <v>1.6235342677442901E-3</v>
      </c>
      <c r="K27" s="109">
        <v>5.2658731703423905E-4</v>
      </c>
      <c r="L27" s="109">
        <v>1.60230101138478E-3</v>
      </c>
      <c r="M27" s="109">
        <v>1.60230101138478E-3</v>
      </c>
      <c r="N27" s="108">
        <v>2.52883768948442E-4</v>
      </c>
      <c r="O27" s="108">
        <v>2.5086434447908501E-3</v>
      </c>
      <c r="P27" s="108">
        <v>2.6153121678673197E-3</v>
      </c>
      <c r="Q27" s="108">
        <v>5.9340444662824292E-4</v>
      </c>
      <c r="R27" s="108">
        <v>1.0756736851634001E-3</v>
      </c>
      <c r="S27" s="108">
        <v>1.8134633149644698E-3</v>
      </c>
      <c r="T27" s="108">
        <v>3.0659222551582097E-3</v>
      </c>
      <c r="U27" s="108">
        <v>1.4240169972236299E-2</v>
      </c>
      <c r="V27" s="108">
        <v>7.41497862579158E-3</v>
      </c>
    </row>
    <row r="28" spans="1:22" ht="15.6">
      <c r="A28" s="110" t="s">
        <v>362</v>
      </c>
      <c r="B28" s="110" t="s">
        <v>363</v>
      </c>
      <c r="C28" s="110" t="s">
        <v>116</v>
      </c>
      <c r="D28" s="110" t="s">
        <v>322</v>
      </c>
      <c r="E28" s="109">
        <v>761.27</v>
      </c>
      <c r="F28" s="109">
        <v>2.7010787951964999E-4</v>
      </c>
      <c r="G28" s="109">
        <v>8.7420427474875799E-4</v>
      </c>
      <c r="H28" s="109">
        <v>1.50622664990178E-3</v>
      </c>
      <c r="I28" s="109">
        <v>5.69782156959343E-4</v>
      </c>
      <c r="J28" s="109">
        <v>3.5598829079202801E-3</v>
      </c>
      <c r="K28" s="109">
        <v>8.4455810131471099E-4</v>
      </c>
      <c r="L28" s="109">
        <v>2.6155143784204198E-3</v>
      </c>
      <c r="M28" s="109">
        <v>2.6155143784204198E-3</v>
      </c>
      <c r="N28" s="108">
        <v>8.87377421951937E-4</v>
      </c>
      <c r="O28" s="108">
        <v>5.4477965261815302E-3</v>
      </c>
      <c r="P28" s="108">
        <v>3.2267349391098899E-3</v>
      </c>
      <c r="Q28" s="108">
        <v>1.07740654753343E-3</v>
      </c>
      <c r="R28" s="108">
        <v>1.3802472487225298E-3</v>
      </c>
      <c r="S28" s="108">
        <v>2.03472296013885E-3</v>
      </c>
      <c r="T28" s="108">
        <v>3.87217323401316E-3</v>
      </c>
      <c r="U28" s="108">
        <v>1.79373869310979E-2</v>
      </c>
      <c r="V28" s="108">
        <v>2.10845247635029E-2</v>
      </c>
    </row>
    <row r="29" spans="1:22" ht="15.6">
      <c r="A29" s="110" t="s">
        <v>344</v>
      </c>
      <c r="B29" s="110" t="s">
        <v>345</v>
      </c>
      <c r="C29" s="110" t="s">
        <v>116</v>
      </c>
      <c r="D29" s="110" t="s">
        <v>121</v>
      </c>
      <c r="E29" s="109">
        <v>1400.44</v>
      </c>
      <c r="F29" s="109">
        <v>2.67921822037307E-4</v>
      </c>
      <c r="G29" s="109">
        <v>4.57672582363703E-4</v>
      </c>
      <c r="H29" s="109">
        <v>1.4846462439021999E-3</v>
      </c>
      <c r="I29" s="109">
        <v>6.1148798209575798E-4</v>
      </c>
      <c r="J29" s="109">
        <v>2.6862455539006696E-3</v>
      </c>
      <c r="K29" s="109">
        <v>3.1946041243700001E-4</v>
      </c>
      <c r="L29" s="109">
        <v>1.05208089818581E-3</v>
      </c>
      <c r="M29" s="109">
        <v>1.05208089818581E-3</v>
      </c>
      <c r="N29" s="108">
        <v>1.2980377846817099E-3</v>
      </c>
      <c r="O29" s="108">
        <v>3.9108450342362003E-3</v>
      </c>
      <c r="P29" s="108">
        <v>2.0396933639694999E-3</v>
      </c>
      <c r="Q29" s="108">
        <v>1.3330631574503498E-3</v>
      </c>
      <c r="R29" s="108">
        <v>1.0410279827982899E-3</v>
      </c>
      <c r="S29" s="108">
        <v>2.2429466683040102E-3</v>
      </c>
      <c r="T29" s="108">
        <v>6.8940047780630407E-3</v>
      </c>
      <c r="U29" s="108">
        <v>2.6248876150291998E-2</v>
      </c>
      <c r="V29" s="108">
        <v>1.3127293654549101E-2</v>
      </c>
    </row>
    <row r="30" spans="1:22" ht="15.6">
      <c r="A30" s="110" t="s">
        <v>364</v>
      </c>
      <c r="B30" s="110" t="s">
        <v>365</v>
      </c>
      <c r="C30" s="110" t="s">
        <v>114</v>
      </c>
      <c r="D30" s="110" t="s">
        <v>121</v>
      </c>
      <c r="E30" s="109">
        <v>693.41</v>
      </c>
      <c r="F30" s="109">
        <v>1.55241757645392E-5</v>
      </c>
      <c r="G30" s="109">
        <v>1.9971778065568201E-5</v>
      </c>
      <c r="H30" s="109">
        <v>9.0936911895249603E-5</v>
      </c>
      <c r="I30" s="109">
        <v>9.554727325948409E-5</v>
      </c>
      <c r="J30" s="109">
        <v>2.9831864361446201E-3</v>
      </c>
      <c r="K30" s="109">
        <v>3.0493605269708E-4</v>
      </c>
      <c r="L30" s="109">
        <v>4.3716139445635002E-3</v>
      </c>
      <c r="M30" s="109">
        <v>4.3716139445635002E-3</v>
      </c>
      <c r="N30" s="108">
        <v>1.9050601519010702E-3</v>
      </c>
      <c r="O30" s="108">
        <v>2.2340496947152802E-3</v>
      </c>
      <c r="P30" s="108">
        <v>4.3968468849448303E-3</v>
      </c>
      <c r="Q30" s="108">
        <v>1.0391140536494799E-3</v>
      </c>
      <c r="R30" s="108">
        <v>1.1923398833230399E-3</v>
      </c>
      <c r="S30" s="108">
        <v>1.8000398540929299E-3</v>
      </c>
      <c r="T30" s="108">
        <v>4.4930975101447699E-3</v>
      </c>
      <c r="U30" s="108">
        <v>2.1001756133025601E-2</v>
      </c>
      <c r="V30" s="108">
        <v>1.9188538671977402E-2</v>
      </c>
    </row>
    <row r="31" spans="1:22" ht="15.6">
      <c r="A31" s="110" t="s">
        <v>354</v>
      </c>
      <c r="B31" s="110" t="s">
        <v>355</v>
      </c>
      <c r="C31" s="110" t="s">
        <v>118</v>
      </c>
      <c r="D31" s="110" t="s">
        <v>325</v>
      </c>
      <c r="E31" s="109">
        <v>120.43</v>
      </c>
      <c r="F31" s="109">
        <v>6.3055225082904801E-4</v>
      </c>
      <c r="G31" s="109">
        <v>3.1773619014761299E-3</v>
      </c>
      <c r="H31" s="109">
        <v>4.1463866271841902E-3</v>
      </c>
      <c r="I31" s="109">
        <v>5.4004034271213795E-4</v>
      </c>
      <c r="J31" s="109">
        <v>2.6214137585192799E-3</v>
      </c>
      <c r="K31" s="109">
        <v>2.2500497936414599E-3</v>
      </c>
      <c r="L31" s="109">
        <v>5.2331056056275395E-3</v>
      </c>
      <c r="M31" s="109">
        <v>5.2331056056275395E-3</v>
      </c>
      <c r="N31" s="108">
        <v>1.2317359536897601E-3</v>
      </c>
      <c r="O31" s="108">
        <v>7.5740171482932691E-4</v>
      </c>
      <c r="P31" s="108">
        <v>2.4925033006816498E-3</v>
      </c>
      <c r="Q31" s="108">
        <v>6.86741634370324E-4</v>
      </c>
      <c r="R31" s="108">
        <v>1.9701964874139799E-3</v>
      </c>
      <c r="S31" s="108">
        <v>2.1508209507197797E-3</v>
      </c>
      <c r="T31" s="108">
        <v>3.55181489888885E-3</v>
      </c>
      <c r="U31" s="108">
        <v>1.7020753346155101E-2</v>
      </c>
      <c r="V31" s="108">
        <v>1.0890864489209401E-2</v>
      </c>
    </row>
    <row r="32" spans="1:22" ht="15.6">
      <c r="A32" s="110" t="s">
        <v>360</v>
      </c>
      <c r="B32" s="110" t="s">
        <v>361</v>
      </c>
      <c r="C32" s="110" t="s">
        <v>119</v>
      </c>
      <c r="D32" s="110" t="s">
        <v>322</v>
      </c>
      <c r="E32" s="109">
        <v>457.46</v>
      </c>
      <c r="F32" s="109">
        <v>3.6889565477746904E-3</v>
      </c>
      <c r="G32" s="109">
        <v>7.1252864527925203E-3</v>
      </c>
      <c r="H32" s="109">
        <v>1.1095476917020201E-2</v>
      </c>
      <c r="I32" s="109">
        <v>4.7849055828641301E-3</v>
      </c>
      <c r="J32" s="109">
        <v>6.2651234728619996E-3</v>
      </c>
      <c r="K32" s="109">
        <v>6.8228734990061701E-4</v>
      </c>
      <c r="L32" s="109">
        <v>1.7017689431634302E-3</v>
      </c>
      <c r="M32" s="109">
        <v>1.7017689431634302E-3</v>
      </c>
      <c r="N32" s="108">
        <v>6.4770698018763891E-4</v>
      </c>
      <c r="O32" s="108">
        <v>2.8550426178344901E-3</v>
      </c>
      <c r="P32" s="108">
        <v>2.1294361527306699E-3</v>
      </c>
      <c r="Q32" s="108">
        <v>8.8924831175995903E-4</v>
      </c>
      <c r="R32" s="108">
        <v>6.986226480676901E-4</v>
      </c>
      <c r="S32" s="108">
        <v>2.6889400683570396E-3</v>
      </c>
      <c r="T32" s="108">
        <v>3.83658892636332E-3</v>
      </c>
      <c r="U32" s="108">
        <v>2.0095453785100699E-2</v>
      </c>
      <c r="V32" s="108">
        <v>2.1069244707900898E-2</v>
      </c>
    </row>
    <row r="33" spans="1:22" ht="15.6">
      <c r="A33" s="110" t="s">
        <v>380</v>
      </c>
      <c r="B33" s="110" t="s">
        <v>381</v>
      </c>
      <c r="C33" s="110" t="s">
        <v>119</v>
      </c>
      <c r="D33" s="110" t="s">
        <v>319</v>
      </c>
      <c r="E33" s="109">
        <v>42.93</v>
      </c>
      <c r="F33" s="109">
        <v>3.5238315345885299E-2</v>
      </c>
      <c r="G33" s="109">
        <v>7.3649728942512996E-2</v>
      </c>
      <c r="H33" s="109">
        <v>9.82882799784075E-2</v>
      </c>
      <c r="I33" s="109">
        <v>1.51806938672003E-2</v>
      </c>
      <c r="J33" s="109">
        <v>3.8003416265516301E-3</v>
      </c>
      <c r="K33" s="109">
        <v>7.4560429860009091E-4</v>
      </c>
      <c r="L33" s="109">
        <v>7.0825107512677695E-3</v>
      </c>
      <c r="M33" s="109">
        <v>7.0825107512677695E-3</v>
      </c>
      <c r="N33" s="108">
        <v>5.0104239970475599E-4</v>
      </c>
      <c r="O33" s="108">
        <v>3.2035180448810401E-3</v>
      </c>
      <c r="P33" s="108">
        <v>1.9485943067668299E-3</v>
      </c>
      <c r="Q33" s="108">
        <v>3.8880479743315903E-4</v>
      </c>
      <c r="R33" s="108">
        <v>7.078773651774461E-4</v>
      </c>
      <c r="S33" s="108">
        <v>3.4070236266124103E-3</v>
      </c>
      <c r="T33" s="108">
        <v>3.31169219598471E-3</v>
      </c>
      <c r="U33" s="108">
        <v>1.6862485096120799E-2</v>
      </c>
      <c r="V33" s="108">
        <v>1.3431210572169399E-2</v>
      </c>
    </row>
    <row r="34" spans="1:22" ht="15.6">
      <c r="A34" s="110" t="s">
        <v>378</v>
      </c>
      <c r="B34" s="110" t="s">
        <v>379</v>
      </c>
      <c r="C34" s="110" t="s">
        <v>120</v>
      </c>
      <c r="D34" s="110" t="s">
        <v>121</v>
      </c>
      <c r="E34" s="109">
        <v>6470.07</v>
      </c>
      <c r="F34" s="109">
        <v>2.6670328333981602E-5</v>
      </c>
      <c r="G34" s="109">
        <v>6.7896009689772695E-5</v>
      </c>
      <c r="H34" s="109">
        <v>5.7120162988114096E-5</v>
      </c>
      <c r="I34" s="109">
        <v>2.9886663861216197E-5</v>
      </c>
      <c r="J34" s="109">
        <v>2.12818760412813E-3</v>
      </c>
      <c r="K34" s="109">
        <v>8.4534401652728707E-4</v>
      </c>
      <c r="L34" s="109">
        <v>3.3733190129044402E-3</v>
      </c>
      <c r="M34" s="109">
        <v>3.3733190129044402E-3</v>
      </c>
      <c r="N34" s="108">
        <v>2.16635541553572E-3</v>
      </c>
      <c r="O34" s="108">
        <v>3.33886525935451E-3</v>
      </c>
      <c r="P34" s="108">
        <v>2.2902970497045601E-3</v>
      </c>
      <c r="Q34" s="108">
        <v>8.6342199933821999E-4</v>
      </c>
      <c r="R34" s="108">
        <v>2.1634769510313298E-3</v>
      </c>
      <c r="S34" s="108">
        <v>1.06959134687672E-3</v>
      </c>
      <c r="T34" s="108">
        <v>4.5845753855259502E-3</v>
      </c>
      <c r="U34" s="108">
        <v>1.8481166351232699E-2</v>
      </c>
      <c r="V34" s="108">
        <v>3.2474998380857198E-2</v>
      </c>
    </row>
    <row r="35" spans="1:22" ht="15.6">
      <c r="A35" s="110" t="s">
        <v>630</v>
      </c>
      <c r="B35" s="110" t="s">
        <v>631</v>
      </c>
      <c r="C35" s="110" t="s">
        <v>115</v>
      </c>
      <c r="D35" s="110" t="s">
        <v>121</v>
      </c>
      <c r="E35" s="109">
        <v>10897.45</v>
      </c>
      <c r="F35" s="109">
        <v>1.63446848743855E-5</v>
      </c>
      <c r="G35" s="109">
        <v>9.1278121274520993E-6</v>
      </c>
      <c r="H35" s="109">
        <v>2.0656472145777899E-5</v>
      </c>
      <c r="I35" s="109">
        <v>2.27577790429528E-5</v>
      </c>
      <c r="J35" s="109">
        <v>1.90129184120741E-3</v>
      </c>
      <c r="K35" s="109">
        <v>7.0063765690001501E-4</v>
      </c>
      <c r="L35" s="109">
        <v>3.4788391907371501E-3</v>
      </c>
      <c r="M35" s="109">
        <v>3.4788391907371501E-3</v>
      </c>
      <c r="N35" s="108">
        <v>2.1554458206543502E-3</v>
      </c>
      <c r="O35" s="108">
        <v>3.6180653388527902E-3</v>
      </c>
      <c r="P35" s="108">
        <v>1.6345970645492598E-3</v>
      </c>
      <c r="Q35" s="108">
        <v>5.9206608578631699E-4</v>
      </c>
      <c r="R35" s="108">
        <v>1.2659715319260599E-3</v>
      </c>
      <c r="S35" s="108">
        <v>1.1013877789701899E-3</v>
      </c>
      <c r="T35" s="108">
        <v>4.6023759414428999E-3</v>
      </c>
      <c r="U35" s="108">
        <v>1.7181964189902102E-2</v>
      </c>
      <c r="V35" s="108">
        <v>2.8339297759526597E-2</v>
      </c>
    </row>
    <row r="36" spans="1:22" ht="15.6">
      <c r="A36" s="110" t="s">
        <v>742</v>
      </c>
      <c r="B36" s="110" t="s">
        <v>743</v>
      </c>
      <c r="C36" s="110" t="s">
        <v>115</v>
      </c>
      <c r="D36" s="110" t="s">
        <v>121</v>
      </c>
      <c r="E36" s="109">
        <v>0</v>
      </c>
      <c r="F36" s="109" t="s">
        <v>1550</v>
      </c>
      <c r="G36" s="109" t="s">
        <v>1550</v>
      </c>
      <c r="H36" s="109" t="s">
        <v>1550</v>
      </c>
      <c r="I36" s="109" t="s">
        <v>1550</v>
      </c>
      <c r="J36" s="109" t="s">
        <v>1550</v>
      </c>
      <c r="K36" s="109" t="s">
        <v>1550</v>
      </c>
      <c r="L36" s="109" t="s">
        <v>1550</v>
      </c>
      <c r="M36" s="109">
        <v>1.7440177336787376E-3</v>
      </c>
      <c r="N36" s="111">
        <v>0</v>
      </c>
      <c r="O36" s="111">
        <v>0</v>
      </c>
      <c r="P36" s="111">
        <v>0</v>
      </c>
      <c r="Q36" s="111">
        <v>0</v>
      </c>
      <c r="R36" s="111">
        <v>0</v>
      </c>
      <c r="S36" s="111">
        <v>0</v>
      </c>
      <c r="T36" s="111">
        <v>0</v>
      </c>
      <c r="U36" s="111">
        <v>0</v>
      </c>
      <c r="V36" s="111" t="s">
        <v>1550</v>
      </c>
    </row>
    <row r="37" spans="1:22" ht="15.6">
      <c r="A37" s="110" t="s">
        <v>384</v>
      </c>
      <c r="B37" s="110" t="s">
        <v>385</v>
      </c>
      <c r="C37" s="110" t="s">
        <v>116</v>
      </c>
      <c r="D37" s="110" t="s">
        <v>121</v>
      </c>
      <c r="E37" s="109">
        <v>1518.04</v>
      </c>
      <c r="F37" s="109">
        <v>4.3371956604430098E-5</v>
      </c>
      <c r="G37" s="109">
        <v>1.75464934626375E-4</v>
      </c>
      <c r="H37" s="109">
        <v>3.2672417050074701E-4</v>
      </c>
      <c r="I37" s="109">
        <v>7.6025906501137099E-5</v>
      </c>
      <c r="J37" s="109">
        <v>3.09606069315255E-3</v>
      </c>
      <c r="K37" s="109">
        <v>5.0156851276985206E-4</v>
      </c>
      <c r="L37" s="109">
        <v>2.7263366617442104E-3</v>
      </c>
      <c r="M37" s="109">
        <v>2.7263366617442104E-3</v>
      </c>
      <c r="N37" s="108">
        <v>2.4800836162101199E-3</v>
      </c>
      <c r="O37" s="108">
        <v>3.4389362926768897E-3</v>
      </c>
      <c r="P37" s="108">
        <v>3.0867582846034495E-3</v>
      </c>
      <c r="Q37" s="108">
        <v>9.8067817989055299E-4</v>
      </c>
      <c r="R37" s="108">
        <v>6.4320623644867098E-4</v>
      </c>
      <c r="S37" s="108">
        <v>6.5171571571553E-4</v>
      </c>
      <c r="T37" s="108">
        <v>3.6750258156982604E-3</v>
      </c>
      <c r="U37" s="108">
        <v>1.7038855570406301E-2</v>
      </c>
      <c r="V37" s="108">
        <v>1.8769609371044601E-2</v>
      </c>
    </row>
    <row r="38" spans="1:22" ht="15.6">
      <c r="A38" s="110" t="s">
        <v>386</v>
      </c>
      <c r="B38" s="110" t="s">
        <v>387</v>
      </c>
      <c r="C38" s="110" t="s">
        <v>114</v>
      </c>
      <c r="D38" s="110" t="s">
        <v>322</v>
      </c>
      <c r="E38" s="109">
        <v>670.51</v>
      </c>
      <c r="F38" s="109">
        <v>6.03572914458828E-5</v>
      </c>
      <c r="G38" s="109">
        <v>3.14987168477806E-4</v>
      </c>
      <c r="H38" s="109">
        <v>5.5608394249940705E-4</v>
      </c>
      <c r="I38" s="109">
        <v>1.1427275539383199E-4</v>
      </c>
      <c r="J38" s="109">
        <v>6.8079787575153795E-3</v>
      </c>
      <c r="K38" s="109">
        <v>2.85375947697373E-3</v>
      </c>
      <c r="L38" s="109">
        <v>2.7885122275287397E-3</v>
      </c>
      <c r="M38" s="109">
        <v>2.7885122275287397E-3</v>
      </c>
      <c r="N38" s="108">
        <v>5.3111192132522707E-4</v>
      </c>
      <c r="O38" s="108">
        <v>6.1514458938602499E-3</v>
      </c>
      <c r="P38" s="108">
        <v>1.48378236037611E-2</v>
      </c>
      <c r="Q38" s="108">
        <v>7.1444464435263403E-4</v>
      </c>
      <c r="R38" s="108">
        <v>1.5133890175912002E-3</v>
      </c>
      <c r="S38" s="108">
        <v>1.9118847795437599E-4</v>
      </c>
      <c r="T38" s="108">
        <v>6.0545447507297998E-3</v>
      </c>
      <c r="U38" s="108">
        <v>3.29125124463912E-2</v>
      </c>
      <c r="V38" s="108">
        <v>4.02505097171518E-2</v>
      </c>
    </row>
    <row r="39" spans="1:22" ht="15.6">
      <c r="A39" s="110" t="s">
        <v>744</v>
      </c>
      <c r="B39" s="110" t="s">
        <v>399</v>
      </c>
      <c r="C39" s="110" t="s">
        <v>119</v>
      </c>
      <c r="D39" s="110" t="s">
        <v>325</v>
      </c>
      <c r="E39" s="109">
        <v>81.87</v>
      </c>
      <c r="F39" s="109">
        <v>6.2069133311383499E-3</v>
      </c>
      <c r="G39" s="109">
        <v>1.17857132659009E-2</v>
      </c>
      <c r="H39" s="109">
        <v>1.6996582603088201E-2</v>
      </c>
      <c r="I39" s="109">
        <v>8.1890588633154199E-3</v>
      </c>
      <c r="J39" s="109">
        <v>4.2577773652262701E-3</v>
      </c>
      <c r="K39" s="109">
        <v>4.5297946616291198E-4</v>
      </c>
      <c r="L39" s="109">
        <v>1.83244877623427E-3</v>
      </c>
      <c r="M39" s="109">
        <v>1.83244877623427E-3</v>
      </c>
      <c r="N39" s="108">
        <v>6.2449389259086998E-4</v>
      </c>
      <c r="O39" s="108">
        <v>1.0146406597220199E-3</v>
      </c>
      <c r="P39" s="108">
        <v>1.6217181904355201E-3</v>
      </c>
      <c r="Q39" s="108">
        <v>3.1405211399879098E-4</v>
      </c>
      <c r="R39" s="108">
        <v>4.5578084911287694E-4</v>
      </c>
      <c r="S39" s="108">
        <v>1.5530131625917701E-3</v>
      </c>
      <c r="T39" s="108">
        <v>2.2634150242690399E-3</v>
      </c>
      <c r="U39" s="108">
        <v>9.6614480123117588E-3</v>
      </c>
      <c r="V39" s="108">
        <v>8.6218179429444E-3</v>
      </c>
    </row>
    <row r="40" spans="1:22" ht="15.6">
      <c r="A40" s="110" t="s">
        <v>376</v>
      </c>
      <c r="B40" s="110" t="s">
        <v>377</v>
      </c>
      <c r="C40" s="110" t="s">
        <v>119</v>
      </c>
      <c r="D40" s="110" t="s">
        <v>325</v>
      </c>
      <c r="E40" s="109">
        <v>63.79</v>
      </c>
      <c r="F40" s="109">
        <v>1.5219343644908999E-2</v>
      </c>
      <c r="G40" s="109">
        <v>2.8477411900928999E-2</v>
      </c>
      <c r="H40" s="109">
        <v>4.0917100115987398E-2</v>
      </c>
      <c r="I40" s="109">
        <v>7.1761789971218001E-3</v>
      </c>
      <c r="J40" s="109">
        <v>2.19123402847841E-3</v>
      </c>
      <c r="K40" s="109">
        <v>5.6226732057529296E-4</v>
      </c>
      <c r="L40" s="109">
        <v>1.4085250988758301E-3</v>
      </c>
      <c r="M40" s="109">
        <v>1.4085250988758301E-3</v>
      </c>
      <c r="N40" s="108">
        <v>6.2604859845725601E-4</v>
      </c>
      <c r="O40" s="108">
        <v>9.1894337997514897E-4</v>
      </c>
      <c r="P40" s="108">
        <v>1.5306038700460499E-3</v>
      </c>
      <c r="Q40" s="108">
        <v>3.8597570840031106E-4</v>
      </c>
      <c r="R40" s="108">
        <v>4.23677888608988E-4</v>
      </c>
      <c r="S40" s="108">
        <v>9.3477524336866191E-4</v>
      </c>
      <c r="T40" s="108">
        <v>1.8582532954596899E-3</v>
      </c>
      <c r="U40" s="108">
        <v>8.332975919894979E-3</v>
      </c>
      <c r="V40" s="108">
        <v>6.1169534522817108E-3</v>
      </c>
    </row>
    <row r="41" spans="1:22" ht="15.6">
      <c r="A41" s="110" t="s">
        <v>392</v>
      </c>
      <c r="B41" s="110" t="s">
        <v>393</v>
      </c>
      <c r="C41" s="110" t="s">
        <v>119</v>
      </c>
      <c r="D41" s="110" t="s">
        <v>319</v>
      </c>
      <c r="E41" s="109">
        <v>22.32</v>
      </c>
      <c r="F41" s="109">
        <v>8.9986674676216603E-3</v>
      </c>
      <c r="G41" s="109">
        <v>1.6486994719423102E-2</v>
      </c>
      <c r="H41" s="109">
        <v>2.3267732749647198E-2</v>
      </c>
      <c r="I41" s="109">
        <v>5.7024550955539401E-3</v>
      </c>
      <c r="J41" s="109">
        <v>1.0267827783813099E-3</v>
      </c>
      <c r="K41" s="109">
        <v>6.5524679871738797E-4</v>
      </c>
      <c r="L41" s="109">
        <v>6.126848315654551E-3</v>
      </c>
      <c r="M41" s="109">
        <v>6.126848315654551E-3</v>
      </c>
      <c r="N41" s="108">
        <v>3.3470977914563401E-4</v>
      </c>
      <c r="O41" s="108">
        <v>3.0182728123567798E-4</v>
      </c>
      <c r="P41" s="108">
        <v>7.6478577581267802E-4</v>
      </c>
      <c r="Q41" s="108">
        <v>2.6528073900649099E-4</v>
      </c>
      <c r="R41" s="108">
        <v>4.4812565438504898E-4</v>
      </c>
      <c r="S41" s="108">
        <v>2.0505016539252201E-3</v>
      </c>
      <c r="T41" s="108">
        <v>1.9461077458123798E-3</v>
      </c>
      <c r="U41" s="108">
        <v>9.449154317463751E-3</v>
      </c>
      <c r="V41" s="108">
        <v>6.0701865268741797E-3</v>
      </c>
    </row>
    <row r="42" spans="1:22" ht="15.6">
      <c r="A42" s="110" t="s">
        <v>394</v>
      </c>
      <c r="B42" s="110" t="s">
        <v>395</v>
      </c>
      <c r="C42" s="110" t="s">
        <v>119</v>
      </c>
      <c r="D42" s="110" t="s">
        <v>325</v>
      </c>
      <c r="E42" s="109">
        <v>80.510000000000005</v>
      </c>
      <c r="F42" s="109">
        <v>6.9792478776291899E-3</v>
      </c>
      <c r="G42" s="109">
        <v>1.3590901651700401E-2</v>
      </c>
      <c r="H42" s="109">
        <v>1.8993871187368498E-2</v>
      </c>
      <c r="I42" s="109">
        <v>3.0989892489713599E-3</v>
      </c>
      <c r="J42" s="109">
        <v>2.10387008808522E-3</v>
      </c>
      <c r="K42" s="109">
        <v>4.26629128297426E-4</v>
      </c>
      <c r="L42" s="109">
        <v>2.4429929466888503E-3</v>
      </c>
      <c r="M42" s="109">
        <v>2.4429929466888503E-3</v>
      </c>
      <c r="N42" s="108">
        <v>5.6579620629422598E-4</v>
      </c>
      <c r="O42" s="108">
        <v>1.5131508974680599E-3</v>
      </c>
      <c r="P42" s="108">
        <v>1.7909909817886199E-3</v>
      </c>
      <c r="Q42" s="108">
        <v>5.2855432655340203E-4</v>
      </c>
      <c r="R42" s="108">
        <v>6.6632163759960093E-4</v>
      </c>
      <c r="S42" s="108">
        <v>2.7447562522051696E-3</v>
      </c>
      <c r="T42" s="108">
        <v>3.0526897046017003E-3</v>
      </c>
      <c r="U42" s="108">
        <v>1.47926479740298E-2</v>
      </c>
      <c r="V42" s="108">
        <v>8.7684797034052707E-3</v>
      </c>
    </row>
    <row r="43" spans="1:22" ht="15.6">
      <c r="A43" s="110" t="s">
        <v>388</v>
      </c>
      <c r="B43" s="110" t="s">
        <v>389</v>
      </c>
      <c r="C43" s="110" t="s">
        <v>116</v>
      </c>
      <c r="D43" s="110" t="s">
        <v>322</v>
      </c>
      <c r="E43" s="109">
        <v>557.54</v>
      </c>
      <c r="F43" s="109">
        <v>1.8137744518363999E-4</v>
      </c>
      <c r="G43" s="109">
        <v>2.4591668904454098E-4</v>
      </c>
      <c r="H43" s="109">
        <v>1.0975765764946301E-3</v>
      </c>
      <c r="I43" s="109">
        <v>2.8988159039854198E-4</v>
      </c>
      <c r="J43" s="109">
        <v>2.1315681372002901E-3</v>
      </c>
      <c r="K43" s="109">
        <v>7.0299967238610095E-4</v>
      </c>
      <c r="L43" s="109">
        <v>1.46410534471613E-3</v>
      </c>
      <c r="M43" s="109">
        <v>1.46410534471613E-3</v>
      </c>
      <c r="N43" s="108">
        <v>6.0153773601802102E-4</v>
      </c>
      <c r="O43" s="108">
        <v>2.0055511505637598E-3</v>
      </c>
      <c r="P43" s="108">
        <v>4.3099102365467502E-3</v>
      </c>
      <c r="Q43" s="108">
        <v>6.6878903319322804E-4</v>
      </c>
      <c r="R43" s="108">
        <v>1.02448906079735E-3</v>
      </c>
      <c r="S43" s="108">
        <v>1.4392138504763E-3</v>
      </c>
      <c r="T43" s="108">
        <v>3.2570705932538102E-3</v>
      </c>
      <c r="U43" s="108">
        <v>1.50860024159048E-2</v>
      </c>
      <c r="V43" s="108">
        <v>9.7230994059691704E-3</v>
      </c>
    </row>
    <row r="44" spans="1:22" ht="15.6">
      <c r="A44" s="110" t="s">
        <v>390</v>
      </c>
      <c r="B44" s="110" t="s">
        <v>391</v>
      </c>
      <c r="C44" s="110" t="s">
        <v>119</v>
      </c>
      <c r="D44" s="110" t="s">
        <v>325</v>
      </c>
      <c r="E44" s="109">
        <v>99.04</v>
      </c>
      <c r="F44" s="109">
        <v>6.3637994616727598E-3</v>
      </c>
      <c r="G44" s="109">
        <v>1.2855685207010999E-2</v>
      </c>
      <c r="H44" s="109">
        <v>1.6863528466362899E-2</v>
      </c>
      <c r="I44" s="109">
        <v>5.5169035020051901E-3</v>
      </c>
      <c r="J44" s="109">
        <v>3.4835896524885298E-3</v>
      </c>
      <c r="K44" s="109">
        <v>7.3994252890483697E-4</v>
      </c>
      <c r="L44" s="109">
        <v>3.6197256180548602E-3</v>
      </c>
      <c r="M44" s="109">
        <v>3.6197256180548602E-3</v>
      </c>
      <c r="N44" s="108">
        <v>5.0685599171602707E-4</v>
      </c>
      <c r="O44" s="108">
        <v>7.5395712894216302E-4</v>
      </c>
      <c r="P44" s="108">
        <v>3.7583061744222404E-3</v>
      </c>
      <c r="Q44" s="108">
        <v>3.2260250384988799E-4</v>
      </c>
      <c r="R44" s="108">
        <v>6.4953882336976805E-4</v>
      </c>
      <c r="S44" s="108">
        <v>2.90107141644648E-3</v>
      </c>
      <c r="T44" s="108">
        <v>3.10186488524769E-3</v>
      </c>
      <c r="U44" s="108">
        <v>1.4668864561894099E-2</v>
      </c>
      <c r="V44" s="108">
        <v>9.8093023680862809E-3</v>
      </c>
    </row>
    <row r="45" spans="1:22" ht="15.6">
      <c r="A45" s="110" t="s">
        <v>372</v>
      </c>
      <c r="B45" s="110" t="s">
        <v>373</v>
      </c>
      <c r="C45" s="110" t="s">
        <v>119</v>
      </c>
      <c r="D45" s="110" t="s">
        <v>325</v>
      </c>
      <c r="E45" s="109">
        <v>247.91</v>
      </c>
      <c r="F45" s="109">
        <v>1.2860137093840299E-3</v>
      </c>
      <c r="G45" s="109">
        <v>2.09882887741402E-3</v>
      </c>
      <c r="H45" s="109">
        <v>3.5879401210599901E-3</v>
      </c>
      <c r="I45" s="109">
        <v>2.2017712040009701E-3</v>
      </c>
      <c r="J45" s="109">
        <v>2.0486472645988999E-3</v>
      </c>
      <c r="K45" s="109">
        <v>4.9681636406381303E-4</v>
      </c>
      <c r="L45" s="109">
        <v>1.2766408730230199E-3</v>
      </c>
      <c r="M45" s="109">
        <v>1.2766408730230199E-3</v>
      </c>
      <c r="N45" s="108">
        <v>8.7902533541519797E-4</v>
      </c>
      <c r="O45" s="108">
        <v>1.3670235883116999E-3</v>
      </c>
      <c r="P45" s="108">
        <v>2.3697102967645402E-3</v>
      </c>
      <c r="Q45" s="108">
        <v>9.442542543000791E-4</v>
      </c>
      <c r="R45" s="108">
        <v>8.1804735509073202E-4</v>
      </c>
      <c r="S45" s="108">
        <v>1.22164892605924E-3</v>
      </c>
      <c r="T45" s="108">
        <v>3.24400149553844E-3</v>
      </c>
      <c r="U45" s="108">
        <v>1.5176947741123098E-2</v>
      </c>
      <c r="V45" s="108">
        <v>7.8600002067548795E-3</v>
      </c>
    </row>
    <row r="46" spans="1:22" ht="15.6">
      <c r="A46" s="110" t="s">
        <v>396</v>
      </c>
      <c r="B46" s="110" t="s">
        <v>397</v>
      </c>
      <c r="C46" s="110" t="s">
        <v>116</v>
      </c>
      <c r="D46" s="110" t="s">
        <v>322</v>
      </c>
      <c r="E46" s="109">
        <v>948.92</v>
      </c>
      <c r="F46" s="109">
        <v>1.8416382466090501E-4</v>
      </c>
      <c r="G46" s="109">
        <v>6.0269578826549796E-5</v>
      </c>
      <c r="H46" s="109">
        <v>7.3749223453590011E-4</v>
      </c>
      <c r="I46" s="109">
        <v>2.1193888572775102E-4</v>
      </c>
      <c r="J46" s="109">
        <v>2.1138517762795302E-3</v>
      </c>
      <c r="K46" s="109">
        <v>5.3371360176225505E-4</v>
      </c>
      <c r="L46" s="109">
        <v>1.8282248990553502E-3</v>
      </c>
      <c r="M46" s="109">
        <v>1.8282248990553502E-3</v>
      </c>
      <c r="N46" s="108">
        <v>6.15076617717436E-4</v>
      </c>
      <c r="O46" s="108">
        <v>1.7084854465361299E-3</v>
      </c>
      <c r="P46" s="108">
        <v>3.3278102071700099E-3</v>
      </c>
      <c r="Q46" s="108">
        <v>8.3076328121065197E-4</v>
      </c>
      <c r="R46" s="108">
        <v>1.21248355232469E-3</v>
      </c>
      <c r="S46" s="108">
        <v>1.5372489523001599E-3</v>
      </c>
      <c r="T46" s="108">
        <v>3.9122405330273002E-3</v>
      </c>
      <c r="U46" s="108">
        <v>1.48981632105918E-2</v>
      </c>
      <c r="V46" s="108">
        <v>1.1453143220061399E-2</v>
      </c>
    </row>
    <row r="47" spans="1:22" ht="15.6">
      <c r="A47" s="110" t="s">
        <v>400</v>
      </c>
      <c r="B47" s="110" t="s">
        <v>401</v>
      </c>
      <c r="C47" s="110" t="s">
        <v>116</v>
      </c>
      <c r="D47" s="110" t="s">
        <v>322</v>
      </c>
      <c r="E47" s="109">
        <v>0</v>
      </c>
      <c r="F47" s="109">
        <v>2.38442385574898E-4</v>
      </c>
      <c r="G47" s="109">
        <v>6.5225590577940495E-4</v>
      </c>
      <c r="H47" s="109">
        <v>1.8868998942977002E-3</v>
      </c>
      <c r="I47" s="109">
        <v>5.5133670726208997E-4</v>
      </c>
      <c r="J47" s="109">
        <v>4.7727598310490201E-3</v>
      </c>
      <c r="K47" s="109">
        <v>1.00229484658867E-3</v>
      </c>
      <c r="L47" s="109">
        <v>8.8025490790878003E-3</v>
      </c>
      <c r="M47" s="109">
        <v>8.8025490790878003E-3</v>
      </c>
      <c r="N47" s="108">
        <v>9.7044748983000798E-4</v>
      </c>
      <c r="O47" s="108">
        <v>3.5025375168452303E-3</v>
      </c>
      <c r="P47" s="108">
        <v>2.8355972887457799E-3</v>
      </c>
      <c r="Q47" s="108">
        <v>1.4254304888245901E-3</v>
      </c>
      <c r="R47" s="108">
        <v>1.6619711900686099E-3</v>
      </c>
      <c r="S47" s="108">
        <v>1.54656515350863E-3</v>
      </c>
      <c r="T47" s="108">
        <v>7.1818429578316299E-3</v>
      </c>
      <c r="U47" s="108">
        <v>2.2628370653861699E-2</v>
      </c>
      <c r="V47" s="108">
        <v>4.3259859703734999E-2</v>
      </c>
    </row>
    <row r="48" spans="1:22" ht="15.6">
      <c r="A48" s="110" t="s">
        <v>745</v>
      </c>
      <c r="B48" s="110" t="s">
        <v>746</v>
      </c>
      <c r="C48" s="110" t="s">
        <v>116</v>
      </c>
      <c r="D48" s="110" t="s">
        <v>121</v>
      </c>
      <c r="E48" s="109">
        <v>0</v>
      </c>
      <c r="F48" s="109" t="s">
        <v>1550</v>
      </c>
      <c r="G48" s="109" t="s">
        <v>1550</v>
      </c>
      <c r="H48" s="109" t="s">
        <v>1550</v>
      </c>
      <c r="I48" s="109" t="s">
        <v>1550</v>
      </c>
      <c r="J48" s="109" t="s">
        <v>1550</v>
      </c>
      <c r="K48" s="109" t="s">
        <v>1550</v>
      </c>
      <c r="L48" s="109" t="s">
        <v>1550</v>
      </c>
      <c r="M48" s="109">
        <v>1.5445864557301757E-3</v>
      </c>
      <c r="N48" s="111">
        <v>0</v>
      </c>
      <c r="O48" s="111">
        <v>0</v>
      </c>
      <c r="P48" s="111">
        <v>0</v>
      </c>
      <c r="Q48" s="111">
        <v>0</v>
      </c>
      <c r="R48" s="111">
        <v>0</v>
      </c>
      <c r="S48" s="111">
        <v>0</v>
      </c>
      <c r="T48" s="111">
        <v>0</v>
      </c>
      <c r="U48" s="111">
        <v>0</v>
      </c>
      <c r="V48" s="111" t="s">
        <v>1550</v>
      </c>
    </row>
    <row r="49" spans="1:22" ht="15.6">
      <c r="A49" s="110" t="s">
        <v>694</v>
      </c>
      <c r="B49" s="110" t="s">
        <v>695</v>
      </c>
      <c r="C49" s="110" t="s">
        <v>116</v>
      </c>
      <c r="D49" s="110" t="s">
        <v>121</v>
      </c>
      <c r="E49" s="109">
        <v>0</v>
      </c>
      <c r="F49" s="109" t="s">
        <v>1550</v>
      </c>
      <c r="G49" s="109" t="s">
        <v>1550</v>
      </c>
      <c r="H49" s="109" t="s">
        <v>1550</v>
      </c>
      <c r="I49" s="109" t="s">
        <v>1550</v>
      </c>
      <c r="J49" s="109" t="s">
        <v>1550</v>
      </c>
      <c r="K49" s="109" t="s">
        <v>1550</v>
      </c>
      <c r="L49" s="109" t="s">
        <v>1550</v>
      </c>
      <c r="M49" s="109">
        <v>1.5445864557301757E-3</v>
      </c>
      <c r="N49" s="111">
        <v>0</v>
      </c>
      <c r="O49" s="111">
        <v>0</v>
      </c>
      <c r="P49" s="111">
        <v>0</v>
      </c>
      <c r="Q49" s="111">
        <v>0</v>
      </c>
      <c r="R49" s="111">
        <v>0</v>
      </c>
      <c r="S49" s="111">
        <v>0</v>
      </c>
      <c r="T49" s="111">
        <v>0</v>
      </c>
      <c r="U49" s="111">
        <v>0</v>
      </c>
      <c r="V49" s="111" t="s">
        <v>1550</v>
      </c>
    </row>
    <row r="50" spans="1:22" ht="15.6">
      <c r="A50" s="110" t="s">
        <v>402</v>
      </c>
      <c r="B50" s="110" t="s">
        <v>403</v>
      </c>
      <c r="C50" s="110" t="s">
        <v>115</v>
      </c>
      <c r="D50" s="110" t="s">
        <v>121</v>
      </c>
      <c r="E50" s="109">
        <v>2989.65</v>
      </c>
      <c r="F50" s="109">
        <v>1.5714364021513801E-5</v>
      </c>
      <c r="G50" s="109">
        <v>1.9414239413313601E-5</v>
      </c>
      <c r="H50" s="109">
        <v>4.5005976812610806E-5</v>
      </c>
      <c r="I50" s="109">
        <v>1.7956261515350599E-5</v>
      </c>
      <c r="J50" s="109">
        <v>3.1144119156068201E-3</v>
      </c>
      <c r="K50" s="109">
        <v>5.9581270234530901E-4</v>
      </c>
      <c r="L50" s="109">
        <v>1.53246372866401E-3</v>
      </c>
      <c r="M50" s="109">
        <v>1.53246372866401E-3</v>
      </c>
      <c r="N50" s="108">
        <v>2.2136664312231201E-3</v>
      </c>
      <c r="O50" s="108">
        <v>3.0982565635071097E-3</v>
      </c>
      <c r="P50" s="108">
        <v>2.1277958493425698E-3</v>
      </c>
      <c r="Q50" s="108">
        <v>8.4450089504763994E-4</v>
      </c>
      <c r="R50" s="108">
        <v>1.3826108671000301E-3</v>
      </c>
      <c r="S50" s="108">
        <v>1.3596238154034298E-3</v>
      </c>
      <c r="T50" s="108">
        <v>6.0333113315430799E-3</v>
      </c>
      <c r="U50" s="108">
        <v>1.9702808297378499E-2</v>
      </c>
      <c r="V50" s="108">
        <v>3.1504077480900901E-2</v>
      </c>
    </row>
    <row r="51" spans="1:22" ht="15.6">
      <c r="A51" s="110" t="s">
        <v>747</v>
      </c>
      <c r="B51" s="110" t="s">
        <v>405</v>
      </c>
      <c r="C51" s="110" t="s">
        <v>115</v>
      </c>
      <c r="D51" s="110" t="s">
        <v>121</v>
      </c>
      <c r="E51" s="109">
        <v>2498.52</v>
      </c>
      <c r="F51" s="109">
        <v>2.7685780841404E-5</v>
      </c>
      <c r="G51" s="109">
        <v>2.87016305151069E-5</v>
      </c>
      <c r="H51" s="109">
        <v>3.8842791568711804E-4</v>
      </c>
      <c r="I51" s="109">
        <v>4.2606614174247896E-5</v>
      </c>
      <c r="J51" s="109">
        <v>5.4303210151621E-3</v>
      </c>
      <c r="K51" s="109">
        <v>1.1314631409491201E-3</v>
      </c>
      <c r="L51" s="109">
        <v>4.3089247355304599E-3</v>
      </c>
      <c r="M51" s="109">
        <v>4.3089247355304599E-3</v>
      </c>
      <c r="N51" s="108">
        <v>3.77520630852514E-3</v>
      </c>
      <c r="O51" s="108">
        <v>6.249998822790581E-3</v>
      </c>
      <c r="P51" s="108">
        <v>1.3472592826246001E-2</v>
      </c>
      <c r="Q51" s="108">
        <v>1.89672636797293E-3</v>
      </c>
      <c r="R51" s="108">
        <v>2.85795719244775E-3</v>
      </c>
      <c r="S51" s="108">
        <v>2.7738128256515697E-3</v>
      </c>
      <c r="T51" s="108">
        <v>8.3546864400374597E-3</v>
      </c>
      <c r="U51" s="108">
        <v>4.5159411024509599E-2</v>
      </c>
      <c r="V51" s="108">
        <v>4.96795986925921E-2</v>
      </c>
    </row>
    <row r="52" spans="1:22" ht="15.6">
      <c r="A52" s="110" t="s">
        <v>436</v>
      </c>
      <c r="B52" s="110" t="s">
        <v>437</v>
      </c>
      <c r="C52" s="110" t="s">
        <v>115</v>
      </c>
      <c r="D52" s="110" t="s">
        <v>121</v>
      </c>
      <c r="E52" s="109">
        <v>6626</v>
      </c>
      <c r="F52" s="109">
        <v>2.4856806085578001E-5</v>
      </c>
      <c r="G52" s="109">
        <v>1.8667003203482899E-5</v>
      </c>
      <c r="H52" s="109">
        <v>3.8660359254690801E-5</v>
      </c>
      <c r="I52" s="109">
        <v>3.6651437131226499E-5</v>
      </c>
      <c r="J52" s="109">
        <v>2.67757247160855E-3</v>
      </c>
      <c r="K52" s="109">
        <v>1.08482046102873E-3</v>
      </c>
      <c r="L52" s="109">
        <v>1.4176525734011902E-3</v>
      </c>
      <c r="M52" s="109">
        <v>1.4176525734011902E-3</v>
      </c>
      <c r="N52" s="108">
        <v>4.3156019118174207E-3</v>
      </c>
      <c r="O52" s="108">
        <v>5.3261757818200998E-3</v>
      </c>
      <c r="P52" s="108">
        <v>3.0714608560892601E-3</v>
      </c>
      <c r="Q52" s="108">
        <v>1.2686833859420199E-3</v>
      </c>
      <c r="R52" s="108">
        <v>2.3236025389278699E-3</v>
      </c>
      <c r="S52" s="108">
        <v>1.7447486974844499E-3</v>
      </c>
      <c r="T52" s="108">
        <v>6.3977423796073201E-3</v>
      </c>
      <c r="U52" s="108">
        <v>2.8020342625286899E-2</v>
      </c>
      <c r="V52" s="108">
        <v>4.1814777278290402E-2</v>
      </c>
    </row>
    <row r="53" spans="1:22" ht="15.6">
      <c r="A53" s="110" t="s">
        <v>408</v>
      </c>
      <c r="B53" s="110" t="s">
        <v>409</v>
      </c>
      <c r="C53" s="110" t="s">
        <v>117</v>
      </c>
      <c r="D53" s="110" t="s">
        <v>325</v>
      </c>
      <c r="E53" s="109">
        <v>87.75</v>
      </c>
      <c r="F53" s="109">
        <v>5.1951257488153501E-3</v>
      </c>
      <c r="G53" s="109">
        <v>9.7930737336285809E-3</v>
      </c>
      <c r="H53" s="109">
        <v>1.38161147179877E-2</v>
      </c>
      <c r="I53" s="109">
        <v>5.7327817945809394E-3</v>
      </c>
      <c r="J53" s="109">
        <v>4.0612038162068896E-3</v>
      </c>
      <c r="K53" s="109">
        <v>3.2625988704073798E-4</v>
      </c>
      <c r="L53" s="109">
        <v>1.7838041237149E-3</v>
      </c>
      <c r="M53" s="109">
        <v>1.7838041237149E-3</v>
      </c>
      <c r="N53" s="108">
        <v>4.3474406830711602E-4</v>
      </c>
      <c r="O53" s="108">
        <v>1.58129153602905E-3</v>
      </c>
      <c r="P53" s="108">
        <v>2.6765499808061996E-3</v>
      </c>
      <c r="Q53" s="108">
        <v>3.7267816626062298E-4</v>
      </c>
      <c r="R53" s="108">
        <v>5.4747012732894501E-4</v>
      </c>
      <c r="S53" s="108">
        <v>1.79199701628828E-3</v>
      </c>
      <c r="T53" s="108">
        <v>3.1229082791612095E-3</v>
      </c>
      <c r="U53" s="108">
        <v>1.4769230504597599E-2</v>
      </c>
      <c r="V53" s="108">
        <v>1.3544385272416901E-2</v>
      </c>
    </row>
    <row r="54" spans="1:22" ht="15.6">
      <c r="A54" s="110" t="s">
        <v>410</v>
      </c>
      <c r="B54" s="110" t="s">
        <v>411</v>
      </c>
      <c r="C54" s="110" t="s">
        <v>116</v>
      </c>
      <c r="D54" s="110" t="s">
        <v>322</v>
      </c>
      <c r="E54" s="109">
        <v>482.43</v>
      </c>
      <c r="F54" s="109">
        <v>3.17800105727127E-4</v>
      </c>
      <c r="G54" s="109">
        <v>5.8721142599024202E-4</v>
      </c>
      <c r="H54" s="109">
        <v>1.84580119294801E-3</v>
      </c>
      <c r="I54" s="109">
        <v>7.3350585957107899E-4</v>
      </c>
      <c r="J54" s="109">
        <v>3.2090952992591703E-3</v>
      </c>
      <c r="K54" s="109">
        <v>5.6931807809059993E-4</v>
      </c>
      <c r="L54" s="109">
        <v>8.6340848385157596E-4</v>
      </c>
      <c r="M54" s="109">
        <v>8.6340848385157596E-4</v>
      </c>
      <c r="N54" s="108">
        <v>1.20343034938853E-3</v>
      </c>
      <c r="O54" s="108">
        <v>3.3433251220676497E-3</v>
      </c>
      <c r="P54" s="108">
        <v>3.6149867403974202E-3</v>
      </c>
      <c r="Q54" s="108">
        <v>1.28564875317344E-3</v>
      </c>
      <c r="R54" s="108">
        <v>1.04556732774382E-3</v>
      </c>
      <c r="S54" s="108">
        <v>1.80639165618724E-3</v>
      </c>
      <c r="T54" s="108">
        <v>9.0354367474445203E-3</v>
      </c>
      <c r="U54" s="108">
        <v>2.2711422171180502E-2</v>
      </c>
      <c r="V54" s="108">
        <v>1.5505451158983899E-2</v>
      </c>
    </row>
    <row r="55" spans="1:22" ht="15.6">
      <c r="A55" s="110" t="s">
        <v>406</v>
      </c>
      <c r="B55" s="110" t="s">
        <v>407</v>
      </c>
      <c r="C55" s="110" t="s">
        <v>115</v>
      </c>
      <c r="D55" s="110" t="s">
        <v>121</v>
      </c>
      <c r="E55" s="109">
        <v>7382.21</v>
      </c>
      <c r="F55" s="109">
        <v>2.76215892462411E-5</v>
      </c>
      <c r="G55" s="109">
        <v>2.1967505084653499E-5</v>
      </c>
      <c r="H55" s="109">
        <v>4.5061654292527995E-5</v>
      </c>
      <c r="I55" s="109">
        <v>4.6288626593063305E-5</v>
      </c>
      <c r="J55" s="109">
        <v>2.73197944203533E-3</v>
      </c>
      <c r="K55" s="109">
        <v>1.3950869466439E-3</v>
      </c>
      <c r="L55" s="109">
        <v>1.5208415759712401E-3</v>
      </c>
      <c r="M55" s="109">
        <v>1.5208415759712401E-3</v>
      </c>
      <c r="N55" s="108">
        <v>2.66610165306219E-3</v>
      </c>
      <c r="O55" s="108">
        <v>4.07153864729848E-3</v>
      </c>
      <c r="P55" s="108">
        <v>1.93361254431058E-3</v>
      </c>
      <c r="Q55" s="108">
        <v>6.7496402393183504E-4</v>
      </c>
      <c r="R55" s="108">
        <v>1.2375269264273199E-3</v>
      </c>
      <c r="S55" s="108">
        <v>9.2546909454611491E-4</v>
      </c>
      <c r="T55" s="108">
        <v>5.0758402311009499E-3</v>
      </c>
      <c r="U55" s="108">
        <v>1.8919405484205998E-2</v>
      </c>
      <c r="V55" s="108">
        <v>4.76179307349004E-2</v>
      </c>
    </row>
    <row r="56" spans="1:22" ht="15.6">
      <c r="A56" s="110" t="s">
        <v>412</v>
      </c>
      <c r="B56" s="110" t="s">
        <v>413</v>
      </c>
      <c r="C56" s="110" t="s">
        <v>116</v>
      </c>
      <c r="D56" s="110" t="s">
        <v>322</v>
      </c>
      <c r="E56" s="109">
        <v>416.9</v>
      </c>
      <c r="F56" s="109">
        <v>1.0876106089753501E-3</v>
      </c>
      <c r="G56" s="109">
        <v>1.24867634760162E-3</v>
      </c>
      <c r="H56" s="109">
        <v>3.67329402003167E-3</v>
      </c>
      <c r="I56" s="109">
        <v>9.338738267324131E-4</v>
      </c>
      <c r="J56" s="109">
        <v>2.7578096395319499E-3</v>
      </c>
      <c r="K56" s="109">
        <v>3.3504654378550201E-4</v>
      </c>
      <c r="L56" s="109">
        <v>3.5048853793880601E-3</v>
      </c>
      <c r="M56" s="109">
        <v>3.5048853793880601E-3</v>
      </c>
      <c r="N56" s="108">
        <v>6.9448926615236801E-4</v>
      </c>
      <c r="O56" s="108">
        <v>2.7067274414964999E-3</v>
      </c>
      <c r="P56" s="108">
        <v>2.6446654747477698E-3</v>
      </c>
      <c r="Q56" s="108">
        <v>9.4177371488384095E-4</v>
      </c>
      <c r="R56" s="108">
        <v>1.4463332720034898E-3</v>
      </c>
      <c r="S56" s="108">
        <v>2.9966575257660997E-3</v>
      </c>
      <c r="T56" s="108">
        <v>6.3493112505336605E-3</v>
      </c>
      <c r="U56" s="108">
        <v>2.1166767488066496E-2</v>
      </c>
      <c r="V56" s="108">
        <v>1.8969746248748198E-2</v>
      </c>
    </row>
    <row r="57" spans="1:22" ht="15.6">
      <c r="A57" s="110" t="s">
        <v>323</v>
      </c>
      <c r="B57" s="110" t="s">
        <v>324</v>
      </c>
      <c r="C57" s="110" t="s">
        <v>117</v>
      </c>
      <c r="D57" s="110" t="s">
        <v>325</v>
      </c>
      <c r="E57" s="109">
        <v>204.57</v>
      </c>
      <c r="F57" s="109">
        <v>1.7945042599617299E-4</v>
      </c>
      <c r="G57" s="109">
        <v>3.7617060826318998E-4</v>
      </c>
      <c r="H57" s="109">
        <v>1.21139654175851E-3</v>
      </c>
      <c r="I57" s="109">
        <v>2.08321407963847E-4</v>
      </c>
      <c r="J57" s="109">
        <v>5.3481557420659099E-3</v>
      </c>
      <c r="K57" s="109">
        <v>3.2383853534418799E-4</v>
      </c>
      <c r="L57" s="109">
        <v>2.67886893561636E-3</v>
      </c>
      <c r="M57" s="109">
        <v>2.67886893561636E-3</v>
      </c>
      <c r="N57" s="108">
        <v>4.7299746509891697E-4</v>
      </c>
      <c r="O57" s="108">
        <v>1.7637303484015201E-3</v>
      </c>
      <c r="P57" s="108">
        <v>1.09693555150182E-3</v>
      </c>
      <c r="Q57" s="108">
        <v>7.5685277861835905E-4</v>
      </c>
      <c r="R57" s="108">
        <v>1.7065223948084501E-3</v>
      </c>
      <c r="S57" s="108">
        <v>1.4467871459899601E-3</v>
      </c>
      <c r="T57" s="108">
        <v>8.2814533419399601E-3</v>
      </c>
      <c r="U57" s="108">
        <v>2.0011369902261399E-2</v>
      </c>
      <c r="V57" s="108">
        <v>1.4495817758411099E-2</v>
      </c>
    </row>
    <row r="58" spans="1:22" ht="15.6">
      <c r="A58" s="110" t="s">
        <v>414</v>
      </c>
      <c r="B58" s="110" t="s">
        <v>415</v>
      </c>
      <c r="C58" s="110" t="s">
        <v>116</v>
      </c>
      <c r="D58" s="110" t="s">
        <v>322</v>
      </c>
      <c r="E58" s="109">
        <v>494.31</v>
      </c>
      <c r="F58" s="109">
        <v>2.7876257474040902E-4</v>
      </c>
      <c r="G58" s="109">
        <v>5.1776913985355794E-4</v>
      </c>
      <c r="H58" s="109">
        <v>1.4774336658520599E-3</v>
      </c>
      <c r="I58" s="109">
        <v>5.8863916878587402E-4</v>
      </c>
      <c r="J58" s="109">
        <v>1.3116903183558E-3</v>
      </c>
      <c r="K58" s="109">
        <v>3.3031825219301405E-4</v>
      </c>
      <c r="L58" s="109">
        <v>2.89745898825991E-3</v>
      </c>
      <c r="M58" s="109">
        <v>2.89745898825991E-3</v>
      </c>
      <c r="N58" s="108">
        <v>5.0637538277830795E-4</v>
      </c>
      <c r="O58" s="108">
        <v>2.1764361782756897E-3</v>
      </c>
      <c r="P58" s="108">
        <v>2.3643384937652103E-3</v>
      </c>
      <c r="Q58" s="108">
        <v>8.4497786472838103E-4</v>
      </c>
      <c r="R58" s="108">
        <v>1.20798916029122E-3</v>
      </c>
      <c r="S58" s="108">
        <v>1.52819859711763E-3</v>
      </c>
      <c r="T58" s="108">
        <v>3.1040709457664599E-3</v>
      </c>
      <c r="U58" s="108">
        <v>1.38660304517738E-2</v>
      </c>
      <c r="V58" s="108">
        <v>6.9403211195152902E-3</v>
      </c>
    </row>
    <row r="59" spans="1:22" ht="15.6">
      <c r="A59" s="110" t="s">
        <v>416</v>
      </c>
      <c r="B59" s="110" t="s">
        <v>417</v>
      </c>
      <c r="C59" s="110" t="s">
        <v>117</v>
      </c>
      <c r="D59" s="110" t="s">
        <v>325</v>
      </c>
      <c r="E59" s="109">
        <v>179.68</v>
      </c>
      <c r="F59" s="109">
        <v>5.3778133825272095E-4</v>
      </c>
      <c r="G59" s="109">
        <v>2.4821306348719501E-3</v>
      </c>
      <c r="H59" s="109">
        <v>3.4499602042697597E-3</v>
      </c>
      <c r="I59" s="109">
        <v>3.9654705153750904E-4</v>
      </c>
      <c r="J59" s="109">
        <v>6.9014956591804798E-3</v>
      </c>
      <c r="K59" s="109">
        <v>5.64762402447076E-4</v>
      </c>
      <c r="L59" s="109">
        <v>8.6588082719362108E-4</v>
      </c>
      <c r="M59" s="109">
        <v>8.6588082719362108E-4</v>
      </c>
      <c r="N59" s="108">
        <v>8.861135077524049E-4</v>
      </c>
      <c r="O59" s="108">
        <v>2.7938317389646101E-3</v>
      </c>
      <c r="P59" s="108">
        <v>1.6430017622110599E-3</v>
      </c>
      <c r="Q59" s="108">
        <v>8.3127446626315906E-4</v>
      </c>
      <c r="R59" s="108">
        <v>6.2666309323160495E-3</v>
      </c>
      <c r="S59" s="108">
        <v>1.18222814453143E-4</v>
      </c>
      <c r="T59" s="108">
        <v>9.2232644122596796E-3</v>
      </c>
      <c r="U59" s="108">
        <v>2.4608891551361197E-2</v>
      </c>
      <c r="V59" s="108">
        <v>2.3127115016814699E-2</v>
      </c>
    </row>
    <row r="60" spans="1:22" ht="15.6">
      <c r="A60" s="110" t="s">
        <v>696</v>
      </c>
      <c r="B60" s="110" t="s">
        <v>697</v>
      </c>
      <c r="C60" s="110" t="s">
        <v>119</v>
      </c>
      <c r="D60" s="110" t="s">
        <v>319</v>
      </c>
      <c r="E60" s="109">
        <v>25.36</v>
      </c>
      <c r="F60" s="109">
        <v>1.35090667243299E-2</v>
      </c>
      <c r="G60" s="109">
        <v>2.6315963952051002E-2</v>
      </c>
      <c r="H60" s="109">
        <v>3.5195219472988905E-2</v>
      </c>
      <c r="I60" s="109">
        <v>7.5133856318422201E-3</v>
      </c>
      <c r="J60" s="109">
        <v>2.44583380378006E-3</v>
      </c>
      <c r="K60" s="109">
        <v>6.0948163615939007E-4</v>
      </c>
      <c r="L60" s="109">
        <v>3.7065489733160502E-3</v>
      </c>
      <c r="M60" s="109">
        <v>3.7065489733160502E-3</v>
      </c>
      <c r="N60" s="108">
        <v>3.9272983614145401E-4</v>
      </c>
      <c r="O60" s="108">
        <v>8.7532451971988488E-4</v>
      </c>
      <c r="P60" s="108">
        <v>2.6862629140378402E-3</v>
      </c>
      <c r="Q60" s="108">
        <v>2.5280255113559901E-4</v>
      </c>
      <c r="R60" s="108">
        <v>4.8925384927051203E-4</v>
      </c>
      <c r="S60" s="108">
        <v>2.30855286644846E-3</v>
      </c>
      <c r="T60" s="108">
        <v>2.2589691703353001E-3</v>
      </c>
      <c r="U60" s="108">
        <v>1.2207272613625501E-2</v>
      </c>
      <c r="V60" s="108">
        <v>8.4461695392877099E-3</v>
      </c>
    </row>
    <row r="61" spans="1:22" ht="15.6">
      <c r="A61" s="110" t="s">
        <v>612</v>
      </c>
      <c r="B61" s="110" t="s">
        <v>613</v>
      </c>
      <c r="C61" s="110" t="s">
        <v>115</v>
      </c>
      <c r="D61" s="110" t="s">
        <v>121</v>
      </c>
      <c r="E61" s="109">
        <v>3234.29</v>
      </c>
      <c r="F61" s="109">
        <v>1.66842541573908E-5</v>
      </c>
      <c r="G61" s="109">
        <v>1.0463170402905998E-5</v>
      </c>
      <c r="H61" s="109">
        <v>4.3035503146631601E-5</v>
      </c>
      <c r="I61" s="109">
        <v>3.5285449840174603E-5</v>
      </c>
      <c r="J61" s="109">
        <v>2.9573015021149398E-3</v>
      </c>
      <c r="K61" s="109">
        <v>9.5708498451809506E-4</v>
      </c>
      <c r="L61" s="109">
        <v>1.34760905797672E-3</v>
      </c>
      <c r="M61" s="109">
        <v>1.34760905797672E-3</v>
      </c>
      <c r="N61" s="108">
        <v>3.0052070947990499E-3</v>
      </c>
      <c r="O61" s="108">
        <v>3.9904336636480096E-3</v>
      </c>
      <c r="P61" s="108">
        <v>1.2909306525679802E-3</v>
      </c>
      <c r="Q61" s="108">
        <v>9.9019042541424198E-4</v>
      </c>
      <c r="R61" s="108">
        <v>6.4779811630222002E-4</v>
      </c>
      <c r="S61" s="108">
        <v>6.72647104946805E-4</v>
      </c>
      <c r="T61" s="108">
        <v>4.7037030227064097E-3</v>
      </c>
      <c r="U61" s="108">
        <v>1.7460728925259399E-2</v>
      </c>
      <c r="V61" s="108">
        <v>3.5544359354740998E-2</v>
      </c>
    </row>
    <row r="62" spans="1:22" ht="15.6">
      <c r="A62" s="110" t="s">
        <v>422</v>
      </c>
      <c r="B62" s="110" t="s">
        <v>423</v>
      </c>
      <c r="C62" s="110" t="s">
        <v>115</v>
      </c>
      <c r="D62" s="110" t="s">
        <v>121</v>
      </c>
      <c r="E62" s="109">
        <v>2094.5</v>
      </c>
      <c r="F62" s="109">
        <v>5.1406272390792805E-5</v>
      </c>
      <c r="G62" s="109">
        <v>2.2491840946481598E-4</v>
      </c>
      <c r="H62" s="109">
        <v>5.5591110638857598E-4</v>
      </c>
      <c r="I62" s="109">
        <v>6.7664679321286595E-5</v>
      </c>
      <c r="J62" s="109">
        <v>3.4603778201955202E-3</v>
      </c>
      <c r="K62" s="109">
        <v>5.2753802329825799E-4</v>
      </c>
      <c r="L62" s="109">
        <v>1.5238892262424699E-3</v>
      </c>
      <c r="M62" s="109">
        <v>1.5238892262424699E-3</v>
      </c>
      <c r="N62" s="108">
        <v>5.2583100796647709E-3</v>
      </c>
      <c r="O62" s="108">
        <v>4.1901616472309697E-3</v>
      </c>
      <c r="P62" s="108">
        <v>2.6001368200516497E-3</v>
      </c>
      <c r="Q62" s="108">
        <v>9.8579636653668094E-4</v>
      </c>
      <c r="R62" s="108">
        <v>3.6673359289776802E-3</v>
      </c>
      <c r="S62" s="108">
        <v>2.0365838872835299E-3</v>
      </c>
      <c r="T62" s="108">
        <v>9.3582683364978898E-3</v>
      </c>
      <c r="U62" s="108">
        <v>3.5893848294728498E-2</v>
      </c>
      <c r="V62" s="108">
        <v>4.24244221505111E-2</v>
      </c>
    </row>
    <row r="63" spans="1:22" ht="15.6">
      <c r="A63" s="110" t="s">
        <v>424</v>
      </c>
      <c r="B63" s="110" t="s">
        <v>425</v>
      </c>
      <c r="C63" s="110" t="s">
        <v>119</v>
      </c>
      <c r="D63" s="110" t="s">
        <v>319</v>
      </c>
      <c r="E63" s="109">
        <v>26.48</v>
      </c>
      <c r="F63" s="109">
        <v>1.02211900261886E-2</v>
      </c>
      <c r="G63" s="109">
        <v>2.03775495159478E-2</v>
      </c>
      <c r="H63" s="109">
        <v>2.61168168523114E-2</v>
      </c>
      <c r="I63" s="109">
        <v>5.2720500056347396E-3</v>
      </c>
      <c r="J63" s="109">
        <v>7.0059728880875899E-4</v>
      </c>
      <c r="K63" s="109">
        <v>4.0749374109373795E-4</v>
      </c>
      <c r="L63" s="109">
        <v>4.5872410367636699E-3</v>
      </c>
      <c r="M63" s="109">
        <v>4.5872410367636699E-3</v>
      </c>
      <c r="N63" s="108">
        <v>2.2243943683690698E-4</v>
      </c>
      <c r="O63" s="108">
        <v>4.6879974698263405E-4</v>
      </c>
      <c r="P63" s="108">
        <v>1.66206260987921E-3</v>
      </c>
      <c r="Q63" s="108">
        <v>2.7073440284729899E-4</v>
      </c>
      <c r="R63" s="108">
        <v>3.0094479982683902E-4</v>
      </c>
      <c r="S63" s="108">
        <v>1.2025890505846001E-3</v>
      </c>
      <c r="T63" s="108">
        <v>1.5851011361193901E-3</v>
      </c>
      <c r="U63" s="108">
        <v>7.6322990570953002E-3</v>
      </c>
      <c r="V63" s="108">
        <v>2.2262517503764201E-3</v>
      </c>
    </row>
    <row r="64" spans="1:22" ht="15.6">
      <c r="A64" s="110" t="s">
        <v>428</v>
      </c>
      <c r="B64" s="110" t="s">
        <v>429</v>
      </c>
      <c r="C64" s="110" t="s">
        <v>115</v>
      </c>
      <c r="D64" s="110" t="s">
        <v>121</v>
      </c>
      <c r="E64" s="109">
        <v>5487.88</v>
      </c>
      <c r="F64" s="109">
        <v>1.13963731182738E-5</v>
      </c>
      <c r="G64" s="109">
        <v>1.2689876431192799E-5</v>
      </c>
      <c r="H64" s="109">
        <v>1.8742652765528301E-5</v>
      </c>
      <c r="I64" s="109">
        <v>1.7017945710738998E-5</v>
      </c>
      <c r="J64" s="109">
        <v>1.8474688143540101E-3</v>
      </c>
      <c r="K64" s="109">
        <v>7.1334032365254001E-4</v>
      </c>
      <c r="L64" s="109">
        <v>1.21766207090174E-3</v>
      </c>
      <c r="M64" s="109">
        <v>1.21766207090174E-3</v>
      </c>
      <c r="N64" s="108">
        <v>3.1794200866794103E-3</v>
      </c>
      <c r="O64" s="108">
        <v>4.6099605695065302E-3</v>
      </c>
      <c r="P64" s="108">
        <v>3.0048884018661799E-3</v>
      </c>
      <c r="Q64" s="108">
        <v>9.973587205573029E-4</v>
      </c>
      <c r="R64" s="108">
        <v>2.06798186634039E-3</v>
      </c>
      <c r="S64" s="108">
        <v>2.1732971480968497E-3</v>
      </c>
      <c r="T64" s="108">
        <v>7.1705299208862797E-3</v>
      </c>
      <c r="U64" s="108">
        <v>2.9279930923101102E-2</v>
      </c>
      <c r="V64" s="108">
        <v>2.9916381776441698E-2</v>
      </c>
    </row>
    <row r="65" spans="1:22" ht="15.6">
      <c r="A65" s="110" t="s">
        <v>426</v>
      </c>
      <c r="B65" s="110" t="s">
        <v>427</v>
      </c>
      <c r="C65" s="110" t="s">
        <v>114</v>
      </c>
      <c r="D65" s="110" t="s">
        <v>322</v>
      </c>
      <c r="E65" s="109">
        <v>250.03</v>
      </c>
      <c r="F65" s="109">
        <v>3.1941870751308102E-4</v>
      </c>
      <c r="G65" s="109">
        <v>1.7980318613158598E-3</v>
      </c>
      <c r="H65" s="109">
        <v>4.2599956615944502E-3</v>
      </c>
      <c r="I65" s="109">
        <v>2.99043783835695E-4</v>
      </c>
      <c r="J65" s="109">
        <v>1.19617943854602E-2</v>
      </c>
      <c r="K65" s="109">
        <v>4.6961170745881705E-4</v>
      </c>
      <c r="L65" s="109">
        <v>1.7173106807834698E-3</v>
      </c>
      <c r="M65" s="109">
        <v>1.7173106807834698E-3</v>
      </c>
      <c r="N65" s="108">
        <v>1.88840470308009E-3</v>
      </c>
      <c r="O65" s="108">
        <v>8.9740167821020303E-3</v>
      </c>
      <c r="P65" s="108">
        <v>7.2687091047342993E-3</v>
      </c>
      <c r="Q65" s="108">
        <v>2.5142225732593402E-3</v>
      </c>
      <c r="R65" s="108">
        <v>2.65983213011942E-3</v>
      </c>
      <c r="S65" s="108">
        <v>5.4581315661082703E-3</v>
      </c>
      <c r="T65" s="108">
        <v>1.3668244465761599E-2</v>
      </c>
      <c r="U65" s="108">
        <v>5.18890636559695E-2</v>
      </c>
      <c r="V65" s="108">
        <v>3.2972276795924099E-2</v>
      </c>
    </row>
    <row r="66" spans="1:22" ht="15.6">
      <c r="A66" s="110" t="s">
        <v>55</v>
      </c>
      <c r="B66" s="110" t="s">
        <v>56</v>
      </c>
      <c r="C66" s="110" t="s">
        <v>115</v>
      </c>
      <c r="D66" s="110" t="s">
        <v>121</v>
      </c>
      <c r="E66" s="109">
        <v>5380.88</v>
      </c>
      <c r="F66" s="109">
        <v>1.4216091843660099E-5</v>
      </c>
      <c r="G66" s="109">
        <v>1.9239185957166102E-5</v>
      </c>
      <c r="H66" s="109">
        <v>4.6972159937846695E-5</v>
      </c>
      <c r="I66" s="109">
        <v>3.6215123028964998E-5</v>
      </c>
      <c r="J66" s="109">
        <v>1.4846308003199299E-3</v>
      </c>
      <c r="K66" s="109">
        <v>3.7011536425695502E-4</v>
      </c>
      <c r="L66" s="109">
        <v>2.6871029359318904E-3</v>
      </c>
      <c r="M66" s="109">
        <v>2.6871029359318904E-3</v>
      </c>
      <c r="N66" s="108">
        <v>2.0257446654561601E-3</v>
      </c>
      <c r="O66" s="108">
        <v>3.7533300860436401E-3</v>
      </c>
      <c r="P66" s="108">
        <v>1.4433107317566298E-3</v>
      </c>
      <c r="Q66" s="108">
        <v>4.6326183217898503E-4</v>
      </c>
      <c r="R66" s="108">
        <v>9.2554753673458807E-4</v>
      </c>
      <c r="S66" s="108">
        <v>1.08039040994267E-3</v>
      </c>
      <c r="T66" s="108">
        <v>4.3799867918005199E-3</v>
      </c>
      <c r="U66" s="108">
        <v>1.6389077354922999E-2</v>
      </c>
      <c r="V66" s="108">
        <v>2.9890481848981798E-2</v>
      </c>
    </row>
    <row r="67" spans="1:22" ht="15.6">
      <c r="A67" s="110" t="s">
        <v>748</v>
      </c>
      <c r="B67" s="110" t="s">
        <v>749</v>
      </c>
      <c r="C67" s="110" t="s">
        <v>115</v>
      </c>
      <c r="D67" s="110" t="s">
        <v>121</v>
      </c>
      <c r="E67" s="109">
        <v>0</v>
      </c>
      <c r="F67" s="109" t="s">
        <v>1550</v>
      </c>
      <c r="G67" s="109" t="s">
        <v>1550</v>
      </c>
      <c r="H67" s="109" t="s">
        <v>1550</v>
      </c>
      <c r="I67" s="109" t="s">
        <v>1550</v>
      </c>
      <c r="J67" s="109" t="s">
        <v>1550</v>
      </c>
      <c r="K67" s="109" t="s">
        <v>1550</v>
      </c>
      <c r="L67" s="109" t="s">
        <v>1550</v>
      </c>
      <c r="M67" s="109">
        <v>1.7440177336787376E-3</v>
      </c>
      <c r="N67" s="111">
        <v>0</v>
      </c>
      <c r="O67" s="111">
        <v>0</v>
      </c>
      <c r="P67" s="111">
        <v>0</v>
      </c>
      <c r="Q67" s="111">
        <v>0</v>
      </c>
      <c r="R67" s="111">
        <v>0</v>
      </c>
      <c r="S67" s="111">
        <v>0</v>
      </c>
      <c r="T67" s="111">
        <v>0</v>
      </c>
      <c r="U67" s="111">
        <v>0</v>
      </c>
      <c r="V67" s="111" t="s">
        <v>1550</v>
      </c>
    </row>
    <row r="68" spans="1:22" ht="15.6">
      <c r="A68" s="110" t="s">
        <v>528</v>
      </c>
      <c r="B68" s="110" t="s">
        <v>529</v>
      </c>
      <c r="C68" s="110" t="s">
        <v>114</v>
      </c>
      <c r="D68" s="110" t="s">
        <v>325</v>
      </c>
      <c r="E68" s="109">
        <v>393.35</v>
      </c>
      <c r="F68" s="109">
        <v>2.9418076639516901E-4</v>
      </c>
      <c r="G68" s="109">
        <v>1.4956308017939099E-3</v>
      </c>
      <c r="H68" s="109">
        <v>3.4448015489622701E-3</v>
      </c>
      <c r="I68" s="109">
        <v>5.7004159104700103E-4</v>
      </c>
      <c r="J68" s="109">
        <v>1.2514289535763801E-2</v>
      </c>
      <c r="K68" s="109">
        <v>1.1686920350243799E-3</v>
      </c>
      <c r="L68" s="109">
        <v>2.1147919967737499E-3</v>
      </c>
      <c r="M68" s="109">
        <v>2.1147919967737499E-3</v>
      </c>
      <c r="N68" s="108">
        <v>1.26263854745683E-3</v>
      </c>
      <c r="O68" s="108">
        <v>6.6232726822618307E-3</v>
      </c>
      <c r="P68" s="108">
        <v>7.6779586876044798E-3</v>
      </c>
      <c r="Q68" s="108">
        <v>1.5990341715988298E-3</v>
      </c>
      <c r="R68" s="108">
        <v>2.9500571010769899E-3</v>
      </c>
      <c r="S68" s="108">
        <v>8.5607730907933891E-3</v>
      </c>
      <c r="T68" s="108">
        <v>1.3867471381406999E-2</v>
      </c>
      <c r="U68" s="108">
        <v>5.1975861977425805E-2</v>
      </c>
      <c r="V68" s="108">
        <v>5.4725835149581799E-2</v>
      </c>
    </row>
    <row r="69" spans="1:22" ht="15.6">
      <c r="A69" s="110" t="s">
        <v>430</v>
      </c>
      <c r="B69" s="110" t="s">
        <v>431</v>
      </c>
      <c r="C69" s="110" t="s">
        <v>119</v>
      </c>
      <c r="D69" s="110" t="s">
        <v>322</v>
      </c>
      <c r="E69" s="109">
        <v>233.87</v>
      </c>
      <c r="F69" s="109">
        <v>2.29012335214211E-3</v>
      </c>
      <c r="G69" s="109">
        <v>4.3217528547456804E-3</v>
      </c>
      <c r="H69" s="109">
        <v>6.5295601097826996E-3</v>
      </c>
      <c r="I69" s="109">
        <v>2.1681655055790601E-3</v>
      </c>
      <c r="J69" s="109">
        <v>2.2909665101675399E-3</v>
      </c>
      <c r="K69" s="109">
        <v>3.5216898694687403E-4</v>
      </c>
      <c r="L69" s="109">
        <v>1.9488999269672998E-3</v>
      </c>
      <c r="M69" s="109">
        <v>1.9488999269672998E-3</v>
      </c>
      <c r="N69" s="108">
        <v>7.9911119704109202E-4</v>
      </c>
      <c r="O69" s="108">
        <v>3.4285716089896404E-3</v>
      </c>
      <c r="P69" s="108">
        <v>1.7907912487805601E-3</v>
      </c>
      <c r="Q69" s="108">
        <v>6.3282519613370395E-4</v>
      </c>
      <c r="R69" s="108">
        <v>6.2138842459893702E-4</v>
      </c>
      <c r="S69" s="108">
        <v>2.2256764889865802E-3</v>
      </c>
      <c r="T69" s="108">
        <v>2.7670344319495901E-3</v>
      </c>
      <c r="U69" s="108">
        <v>1.40859083319418E-2</v>
      </c>
      <c r="V69" s="108">
        <v>9.6238423334611498E-3</v>
      </c>
    </row>
    <row r="70" spans="1:22" ht="15.6">
      <c r="A70" s="110" t="s">
        <v>662</v>
      </c>
      <c r="B70" s="110" t="s">
        <v>663</v>
      </c>
      <c r="C70" s="110" t="s">
        <v>115</v>
      </c>
      <c r="D70" s="110" t="s">
        <v>121</v>
      </c>
      <c r="E70" s="109">
        <v>5738.48</v>
      </c>
      <c r="F70" s="109">
        <v>1.3635079939357999E-5</v>
      </c>
      <c r="G70" s="109">
        <v>4.6273046171313696E-6</v>
      </c>
      <c r="H70" s="109">
        <v>2.3717906168596601E-5</v>
      </c>
      <c r="I70" s="109">
        <v>7.0933803251993505E-5</v>
      </c>
      <c r="J70" s="109">
        <v>3.0518262178696803E-3</v>
      </c>
      <c r="K70" s="109">
        <v>1.1857981902810601E-3</v>
      </c>
      <c r="L70" s="109">
        <v>4.9295205272921006E-4</v>
      </c>
      <c r="M70" s="109">
        <v>4.9295205272921006E-4</v>
      </c>
      <c r="N70" s="108">
        <v>3.3178098396602299E-3</v>
      </c>
      <c r="O70" s="108">
        <v>3.1157396852094003E-3</v>
      </c>
      <c r="P70" s="108">
        <v>1.61876839257614E-3</v>
      </c>
      <c r="Q70" s="108">
        <v>1.21458230548185E-3</v>
      </c>
      <c r="R70" s="108">
        <v>1.654863821973E-3</v>
      </c>
      <c r="S70" s="108">
        <v>1.4564057115398501E-3</v>
      </c>
      <c r="T70" s="108">
        <v>5.6181792652444402E-3</v>
      </c>
      <c r="U70" s="108">
        <v>2.2264981390706099E-2</v>
      </c>
      <c r="V70" s="108">
        <v>4.0444033980207197E-2</v>
      </c>
    </row>
    <row r="71" spans="1:22" ht="15.6">
      <c r="A71" s="110" t="s">
        <v>434</v>
      </c>
      <c r="B71" s="110" t="s">
        <v>435</v>
      </c>
      <c r="C71" s="110" t="s">
        <v>115</v>
      </c>
      <c r="D71" s="110" t="s">
        <v>322</v>
      </c>
      <c r="E71" s="109">
        <v>417.07</v>
      </c>
      <c r="F71" s="109">
        <v>9.6441038505781998E-5</v>
      </c>
      <c r="G71" s="109">
        <v>7.0340596099988399E-4</v>
      </c>
      <c r="H71" s="109">
        <v>8.8523488456633895E-4</v>
      </c>
      <c r="I71" s="109">
        <v>1.6520845410991899E-4</v>
      </c>
      <c r="J71" s="109">
        <v>1.01109958003767E-2</v>
      </c>
      <c r="K71" s="109">
        <v>9.7832283783152508E-4</v>
      </c>
      <c r="L71" s="109">
        <v>1.4697594293027799E-3</v>
      </c>
      <c r="M71" s="109">
        <v>1.4697594293027799E-3</v>
      </c>
      <c r="N71" s="108">
        <v>3.4337302628642901E-3</v>
      </c>
      <c r="O71" s="108">
        <v>5.6424301358470996E-3</v>
      </c>
      <c r="P71" s="108">
        <v>1.12651256053827E-2</v>
      </c>
      <c r="Q71" s="108">
        <v>1.5090930586482601E-3</v>
      </c>
      <c r="R71" s="108">
        <v>4.3791809605201798E-3</v>
      </c>
      <c r="S71" s="108">
        <v>3.9071264884482796E-3</v>
      </c>
      <c r="T71" s="108">
        <v>1.9606870051302502E-2</v>
      </c>
      <c r="U71" s="108">
        <v>6.1888098422820205E-2</v>
      </c>
      <c r="V71" s="108">
        <v>5.3472677542509103E-2</v>
      </c>
    </row>
    <row r="72" spans="1:22" ht="15.6">
      <c r="A72" s="110" t="s">
        <v>438</v>
      </c>
      <c r="B72" s="110" t="s">
        <v>439</v>
      </c>
      <c r="C72" s="110" t="s">
        <v>119</v>
      </c>
      <c r="D72" s="110" t="s">
        <v>325</v>
      </c>
      <c r="E72" s="109">
        <v>100</v>
      </c>
      <c r="F72" s="109">
        <v>4.4068002826447702E-3</v>
      </c>
      <c r="G72" s="109">
        <v>7.8107858601065509E-3</v>
      </c>
      <c r="H72" s="109">
        <v>1.16571611451366E-2</v>
      </c>
      <c r="I72" s="109">
        <v>4.7861678439150099E-3</v>
      </c>
      <c r="J72" s="109">
        <v>1.4955487547979201E-3</v>
      </c>
      <c r="K72" s="109">
        <v>6.9649914342464006E-4</v>
      </c>
      <c r="L72" s="109">
        <v>1.1799081925299101E-3</v>
      </c>
      <c r="M72" s="109">
        <v>1.1799081925299101E-3</v>
      </c>
      <c r="N72" s="108">
        <v>8.8055964452882294E-4</v>
      </c>
      <c r="O72" s="108">
        <v>8.8249122592722702E-4</v>
      </c>
      <c r="P72" s="108">
        <v>2.8053300842722302E-3</v>
      </c>
      <c r="Q72" s="108">
        <v>3.8814714926548201E-4</v>
      </c>
      <c r="R72" s="108">
        <v>5.6523882617332802E-4</v>
      </c>
      <c r="S72" s="108">
        <v>1.8543699209730899E-3</v>
      </c>
      <c r="T72" s="108">
        <v>2.8888924962834801E-3</v>
      </c>
      <c r="U72" s="108">
        <v>1.1577390279358999E-2</v>
      </c>
      <c r="V72" s="108">
        <v>5.2216064609802593E-3</v>
      </c>
    </row>
    <row r="73" spans="1:22" ht="15.6">
      <c r="A73" s="110" t="s">
        <v>750</v>
      </c>
      <c r="B73" s="110" t="s">
        <v>751</v>
      </c>
      <c r="C73" s="110" t="s">
        <v>115</v>
      </c>
      <c r="D73" s="110" t="s">
        <v>121</v>
      </c>
      <c r="E73" s="109">
        <v>0</v>
      </c>
      <c r="F73" s="109" t="s">
        <v>1550</v>
      </c>
      <c r="G73" s="109" t="s">
        <v>1550</v>
      </c>
      <c r="H73" s="109" t="s">
        <v>1550</v>
      </c>
      <c r="I73" s="109" t="s">
        <v>1550</v>
      </c>
      <c r="J73" s="109" t="s">
        <v>1550</v>
      </c>
      <c r="K73" s="109" t="s">
        <v>1550</v>
      </c>
      <c r="L73" s="109" t="s">
        <v>1550</v>
      </c>
      <c r="M73" s="109">
        <v>1.7440177336787376E-3</v>
      </c>
      <c r="N73" s="111">
        <v>0</v>
      </c>
      <c r="O73" s="111">
        <v>0</v>
      </c>
      <c r="P73" s="111">
        <v>0</v>
      </c>
      <c r="Q73" s="111">
        <v>0</v>
      </c>
      <c r="R73" s="111">
        <v>0</v>
      </c>
      <c r="S73" s="111">
        <v>0</v>
      </c>
      <c r="T73" s="111">
        <v>0</v>
      </c>
      <c r="U73" s="111">
        <v>0</v>
      </c>
      <c r="V73" s="111" t="s">
        <v>1550</v>
      </c>
    </row>
    <row r="74" spans="1:22" ht="15.6">
      <c r="A74" s="110" t="s">
        <v>446</v>
      </c>
      <c r="B74" s="110" t="s">
        <v>447</v>
      </c>
      <c r="C74" s="110" t="s">
        <v>119</v>
      </c>
      <c r="D74" s="110" t="s">
        <v>325</v>
      </c>
      <c r="E74" s="109">
        <v>44.69</v>
      </c>
      <c r="F74" s="109">
        <v>1.01657669148137E-2</v>
      </c>
      <c r="G74" s="109">
        <v>1.9072508286767501E-2</v>
      </c>
      <c r="H74" s="109">
        <v>2.7233991744086101E-2</v>
      </c>
      <c r="I74" s="109">
        <v>1.4499324608575101E-2</v>
      </c>
      <c r="J74" s="109">
        <v>4.6295260676880298E-3</v>
      </c>
      <c r="K74" s="109">
        <v>5.7487054079068101E-4</v>
      </c>
      <c r="L74" s="109">
        <v>3.0905204811828599E-3</v>
      </c>
      <c r="M74" s="109">
        <v>3.0905204811828599E-3</v>
      </c>
      <c r="N74" s="108">
        <v>5.7878894116188497E-4</v>
      </c>
      <c r="O74" s="108">
        <v>7.0104542548888498E-4</v>
      </c>
      <c r="P74" s="108">
        <v>1.6916501658224101E-3</v>
      </c>
      <c r="Q74" s="108">
        <v>3.49760156222169E-4</v>
      </c>
      <c r="R74" s="108">
        <v>4.9551653445853395E-4</v>
      </c>
      <c r="S74" s="108">
        <v>1.73399512602174E-3</v>
      </c>
      <c r="T74" s="108">
        <v>1.9798816562501299E-3</v>
      </c>
      <c r="U74" s="108">
        <v>9.8277583702690904E-3</v>
      </c>
      <c r="V74" s="108">
        <v>1.01480929211129E-2</v>
      </c>
    </row>
    <row r="75" spans="1:22" ht="15.6">
      <c r="A75" s="110" t="s">
        <v>432</v>
      </c>
      <c r="B75" s="110" t="s">
        <v>433</v>
      </c>
      <c r="C75" s="110" t="s">
        <v>119</v>
      </c>
      <c r="D75" s="110" t="s">
        <v>319</v>
      </c>
      <c r="E75" s="109">
        <v>24.63</v>
      </c>
      <c r="F75" s="109">
        <v>4.8297328053866998E-3</v>
      </c>
      <c r="G75" s="109">
        <v>8.8555397877157892E-3</v>
      </c>
      <c r="H75" s="109">
        <v>1.26728211836621E-2</v>
      </c>
      <c r="I75" s="109">
        <v>4.8110793055114696E-3</v>
      </c>
      <c r="J75" s="109">
        <v>3.4028116871766797E-3</v>
      </c>
      <c r="K75" s="109">
        <v>4.7971788369393698E-4</v>
      </c>
      <c r="L75" s="109">
        <v>1.7374217925996101E-3</v>
      </c>
      <c r="M75" s="109">
        <v>1.7374217925996101E-3</v>
      </c>
      <c r="N75" s="108">
        <v>5.8637748905331793E-4</v>
      </c>
      <c r="O75" s="108">
        <v>5.3263295952005803E-4</v>
      </c>
      <c r="P75" s="108">
        <v>1.6403668602056299E-3</v>
      </c>
      <c r="Q75" s="108">
        <v>3.93611768586891E-4</v>
      </c>
      <c r="R75" s="108">
        <v>5.66131433372947E-4</v>
      </c>
      <c r="S75" s="108">
        <v>2.0306291268443501E-3</v>
      </c>
      <c r="T75" s="108">
        <v>2.32654812302442E-3</v>
      </c>
      <c r="U75" s="108">
        <v>1.1644481885216901E-2</v>
      </c>
      <c r="V75" s="108">
        <v>8.5221245690025611E-3</v>
      </c>
    </row>
    <row r="76" spans="1:22" ht="15.6">
      <c r="A76" s="110" t="s">
        <v>448</v>
      </c>
      <c r="B76" s="110" t="s">
        <v>449</v>
      </c>
      <c r="C76" s="110" t="s">
        <v>119</v>
      </c>
      <c r="D76" s="110" t="s">
        <v>319</v>
      </c>
      <c r="E76" s="109">
        <v>68.819999999999993</v>
      </c>
      <c r="F76" s="109">
        <v>1.3935870739899698E-2</v>
      </c>
      <c r="G76" s="109">
        <v>2.69347321662512E-2</v>
      </c>
      <c r="H76" s="109">
        <v>3.7423843566500199E-2</v>
      </c>
      <c r="I76" s="109">
        <v>6.1767815778622295E-3</v>
      </c>
      <c r="J76" s="109">
        <v>3.02222862936048E-3</v>
      </c>
      <c r="K76" s="109">
        <v>5.9729827830797705E-4</v>
      </c>
      <c r="L76" s="109">
        <v>1.5151014439832599E-3</v>
      </c>
      <c r="M76" s="109">
        <v>1.5151014439832599E-3</v>
      </c>
      <c r="N76" s="108">
        <v>6.5538877486105208E-4</v>
      </c>
      <c r="O76" s="108">
        <v>1.5299326623071999E-3</v>
      </c>
      <c r="P76" s="108">
        <v>2.0548037442946502E-3</v>
      </c>
      <c r="Q76" s="108">
        <v>5.7388181094598901E-4</v>
      </c>
      <c r="R76" s="108">
        <v>6.5489190422933898E-4</v>
      </c>
      <c r="S76" s="108">
        <v>2.82566115991422E-3</v>
      </c>
      <c r="T76" s="108">
        <v>2.4653855631230999E-3</v>
      </c>
      <c r="U76" s="108">
        <v>1.4247808586630198E-2</v>
      </c>
      <c r="V76" s="108">
        <v>5.3336449365680005E-3</v>
      </c>
    </row>
    <row r="77" spans="1:22" ht="15.6">
      <c r="A77" s="110" t="s">
        <v>420</v>
      </c>
      <c r="B77" s="110" t="s">
        <v>421</v>
      </c>
      <c r="C77" s="110" t="s">
        <v>119</v>
      </c>
      <c r="D77" s="110" t="s">
        <v>322</v>
      </c>
      <c r="E77" s="109">
        <v>255.57</v>
      </c>
      <c r="F77" s="109">
        <v>1.66948810546364E-3</v>
      </c>
      <c r="G77" s="109">
        <v>1.62770041592008E-3</v>
      </c>
      <c r="H77" s="109">
        <v>4.5718908940994398E-3</v>
      </c>
      <c r="I77" s="109">
        <v>2.0348949751958197E-3</v>
      </c>
      <c r="J77" s="109">
        <v>1.25521919511554E-3</v>
      </c>
      <c r="K77" s="109">
        <v>2.95210101341804E-4</v>
      </c>
      <c r="L77" s="109">
        <v>2.21303692751791E-3</v>
      </c>
      <c r="M77" s="109">
        <v>2.21303692751791E-3</v>
      </c>
      <c r="N77" s="108">
        <v>4.0887530345716896E-4</v>
      </c>
      <c r="O77" s="108">
        <v>1.01043898895701E-3</v>
      </c>
      <c r="P77" s="108">
        <v>8.5760397246550392E-4</v>
      </c>
      <c r="Q77" s="108">
        <v>3.3626625467146197E-4</v>
      </c>
      <c r="R77" s="108">
        <v>2.6764513222662603E-4</v>
      </c>
      <c r="S77" s="108">
        <v>1.0474209332980099E-3</v>
      </c>
      <c r="T77" s="108">
        <v>1.31003262579564E-3</v>
      </c>
      <c r="U77" s="108">
        <v>6.2468806952077896E-3</v>
      </c>
      <c r="V77" s="108">
        <v>4.3370942346141403E-3</v>
      </c>
    </row>
    <row r="78" spans="1:22" ht="15.6">
      <c r="A78" s="110" t="s">
        <v>440</v>
      </c>
      <c r="B78" s="110" t="s">
        <v>441</v>
      </c>
      <c r="C78" s="110" t="s">
        <v>115</v>
      </c>
      <c r="D78" s="110" t="s">
        <v>121</v>
      </c>
      <c r="E78" s="109">
        <v>1845.78</v>
      </c>
      <c r="F78" s="109">
        <v>1.0728808746446099E-5</v>
      </c>
      <c r="G78" s="109">
        <v>2.21797398482907E-5</v>
      </c>
      <c r="H78" s="109">
        <v>1.6124315531103399E-5</v>
      </c>
      <c r="I78" s="109">
        <v>6.6621645917193495E-5</v>
      </c>
      <c r="J78" s="109">
        <v>5.4883683826735504E-3</v>
      </c>
      <c r="K78" s="109">
        <v>1.0086426289097701E-3</v>
      </c>
      <c r="L78" s="109">
        <v>1.1356361706370999E-3</v>
      </c>
      <c r="M78" s="109">
        <v>1.1356361706370999E-3</v>
      </c>
      <c r="N78" s="108">
        <v>2.5917881733291898E-3</v>
      </c>
      <c r="O78" s="108">
        <v>7.0863768949930104E-3</v>
      </c>
      <c r="P78" s="108">
        <v>3.7034007096648403E-3</v>
      </c>
      <c r="Q78" s="108">
        <v>9.7604497419313796E-4</v>
      </c>
      <c r="R78" s="108">
        <v>2.2905087878795898E-3</v>
      </c>
      <c r="S78" s="108">
        <v>3.0903235365675898E-4</v>
      </c>
      <c r="T78" s="108">
        <v>1.1612915881699801E-2</v>
      </c>
      <c r="U78" s="108">
        <v>3.1018504609452002E-2</v>
      </c>
      <c r="V78" s="108">
        <v>5.7544905280865997E-2</v>
      </c>
    </row>
    <row r="79" spans="1:22" ht="15.6">
      <c r="A79" s="110" t="s">
        <v>442</v>
      </c>
      <c r="B79" s="110" t="s">
        <v>443</v>
      </c>
      <c r="C79" s="110" t="s">
        <v>116</v>
      </c>
      <c r="D79" s="110" t="s">
        <v>322</v>
      </c>
      <c r="E79" s="109">
        <v>505.4</v>
      </c>
      <c r="F79" s="109">
        <v>2.7936067037779601E-4</v>
      </c>
      <c r="G79" s="109">
        <v>7.1494492714413395E-4</v>
      </c>
      <c r="H79" s="109">
        <v>1.72673517770959E-3</v>
      </c>
      <c r="I79" s="109">
        <v>7.880786238840049E-4</v>
      </c>
      <c r="J79" s="109">
        <v>3.3783349824884103E-3</v>
      </c>
      <c r="K79" s="109">
        <v>4.3887415430381599E-4</v>
      </c>
      <c r="L79" s="109">
        <v>1.39444830887405E-3</v>
      </c>
      <c r="M79" s="109">
        <v>1.39444830887405E-3</v>
      </c>
      <c r="N79" s="108">
        <v>1.00754593264909E-3</v>
      </c>
      <c r="O79" s="108">
        <v>2.1578731321046799E-3</v>
      </c>
      <c r="P79" s="108">
        <v>2.8511434837707799E-3</v>
      </c>
      <c r="Q79" s="108">
        <v>1.2132228535369199E-3</v>
      </c>
      <c r="R79" s="108">
        <v>1.12613681610228E-3</v>
      </c>
      <c r="S79" s="108">
        <v>3.30275236862133E-3</v>
      </c>
      <c r="T79" s="108">
        <v>7.8018725587678398E-3</v>
      </c>
      <c r="U79" s="108">
        <v>2.36545359220376E-2</v>
      </c>
      <c r="V79" s="108">
        <v>1.5179340586125899E-2</v>
      </c>
    </row>
    <row r="80" spans="1:22" ht="15.6">
      <c r="A80" s="110" t="s">
        <v>698</v>
      </c>
      <c r="B80" s="110" t="s">
        <v>699</v>
      </c>
      <c r="C80" s="110" t="s">
        <v>115</v>
      </c>
      <c r="D80" s="110" t="s">
        <v>121</v>
      </c>
      <c r="E80" s="109">
        <v>0</v>
      </c>
      <c r="F80" s="109">
        <v>2.2870201371231701E-5</v>
      </c>
      <c r="G80" s="109">
        <v>1.5187972382063499E-4</v>
      </c>
      <c r="H80" s="109">
        <v>8.2720209106788397E-5</v>
      </c>
      <c r="I80" s="109">
        <v>4.5444769740012595E-5</v>
      </c>
      <c r="J80" s="109">
        <v>5.9574790518058399E-3</v>
      </c>
      <c r="K80" s="109">
        <v>1.0947817468096499E-3</v>
      </c>
      <c r="L80" s="109">
        <v>2.6156027929153101E-3</v>
      </c>
      <c r="M80" s="109">
        <v>2.6156027929153101E-3</v>
      </c>
      <c r="N80" s="108">
        <v>3.1992151355295E-3</v>
      </c>
      <c r="O80" s="108">
        <v>6.0276688509280901E-3</v>
      </c>
      <c r="P80" s="108">
        <v>3.28472820353269E-3</v>
      </c>
      <c r="Q80" s="108">
        <v>1.2820663400534499E-3</v>
      </c>
      <c r="R80" s="108">
        <v>2.6855478333558803E-3</v>
      </c>
      <c r="S80" s="108">
        <v>1.02574396356308E-3</v>
      </c>
      <c r="T80" s="108">
        <v>5.6933395306967604E-3</v>
      </c>
      <c r="U80" s="108">
        <v>2.4702126554857699E-2</v>
      </c>
      <c r="V80" s="108">
        <v>6.3807289989745206E-2</v>
      </c>
    </row>
    <row r="81" spans="1:22" ht="15.6">
      <c r="A81" s="110" t="s">
        <v>444</v>
      </c>
      <c r="B81" s="110" t="s">
        <v>445</v>
      </c>
      <c r="C81" s="110" t="s">
        <v>116</v>
      </c>
      <c r="D81" s="110" t="s">
        <v>322</v>
      </c>
      <c r="E81" s="109">
        <v>340.96</v>
      </c>
      <c r="F81" s="109">
        <v>1.16458466616452E-3</v>
      </c>
      <c r="G81" s="109">
        <v>3.9905455917063504E-3</v>
      </c>
      <c r="H81" s="109">
        <v>6.8212964145912391E-3</v>
      </c>
      <c r="I81" s="109">
        <v>1.66220675672396E-3</v>
      </c>
      <c r="J81" s="109">
        <v>2.1548408726615098E-3</v>
      </c>
      <c r="K81" s="109">
        <v>2.83642501099635E-4</v>
      </c>
      <c r="L81" s="109">
        <v>4.7139578597485896E-3</v>
      </c>
      <c r="M81" s="109">
        <v>4.7139578597485896E-3</v>
      </c>
      <c r="N81" s="108">
        <v>6.562339361017921E-4</v>
      </c>
      <c r="O81" s="108">
        <v>8.2080036826874905E-4</v>
      </c>
      <c r="P81" s="108">
        <v>2.3119562236945299E-3</v>
      </c>
      <c r="Q81" s="108">
        <v>6.8864584523223901E-4</v>
      </c>
      <c r="R81" s="108">
        <v>6.72997699621925E-4</v>
      </c>
      <c r="S81" s="108">
        <v>1.15245358736732E-3</v>
      </c>
      <c r="T81" s="108">
        <v>2.6514648281422701E-3</v>
      </c>
      <c r="U81" s="108">
        <v>1.1300378981722099E-2</v>
      </c>
      <c r="V81" s="108">
        <v>5.7414119961518304E-3</v>
      </c>
    </row>
    <row r="82" spans="1:22" ht="15.6">
      <c r="A82" s="110" t="s">
        <v>752</v>
      </c>
      <c r="B82" s="110" t="s">
        <v>753</v>
      </c>
      <c r="C82" s="110" t="s">
        <v>114</v>
      </c>
      <c r="D82" s="110" t="s">
        <v>121</v>
      </c>
      <c r="E82" s="109">
        <v>0</v>
      </c>
      <c r="F82" s="109">
        <v>1.1246683054073299E-4</v>
      </c>
      <c r="G82" s="109">
        <v>2.0397301724850097E-4</v>
      </c>
      <c r="H82" s="109">
        <v>2.12150012105189E-3</v>
      </c>
      <c r="I82" s="109">
        <v>1.2294861736298398E-4</v>
      </c>
      <c r="J82" s="109">
        <v>7.4709755760477194E-3</v>
      </c>
      <c r="K82" s="109">
        <v>4.9039733933241595E-4</v>
      </c>
      <c r="L82" s="109">
        <v>1.03158036843062E-3</v>
      </c>
      <c r="M82" s="109">
        <v>1.03158036843062E-3</v>
      </c>
      <c r="N82" s="108">
        <v>8.6143161254071798E-4</v>
      </c>
      <c r="O82" s="108">
        <v>5.2003304300366907E-3</v>
      </c>
      <c r="P82" s="108">
        <v>6.4209714375625193E-3</v>
      </c>
      <c r="Q82" s="108">
        <v>2.1041374369049001E-3</v>
      </c>
      <c r="R82" s="108">
        <v>2.30188938231347E-3</v>
      </c>
      <c r="S82" s="108">
        <v>4.0311458896216098E-3</v>
      </c>
      <c r="T82" s="108">
        <v>9.6361544648390311E-3</v>
      </c>
      <c r="U82" s="108">
        <v>3.2303768896730201E-2</v>
      </c>
      <c r="V82" s="108">
        <v>2.9057398797069398E-2</v>
      </c>
    </row>
    <row r="83" spans="1:22" ht="15.6">
      <c r="A83" s="110" t="s">
        <v>450</v>
      </c>
      <c r="B83" s="110" t="s">
        <v>451</v>
      </c>
      <c r="C83" s="110" t="s">
        <v>116</v>
      </c>
      <c r="D83" s="110" t="s">
        <v>121</v>
      </c>
      <c r="E83" s="109">
        <v>470.57</v>
      </c>
      <c r="F83" s="109">
        <v>1.0970477528794401E-3</v>
      </c>
      <c r="G83" s="109">
        <v>1.76191146137175E-3</v>
      </c>
      <c r="H83" s="109">
        <v>4.18789396450653E-3</v>
      </c>
      <c r="I83" s="109">
        <v>1.47705793508819E-3</v>
      </c>
      <c r="J83" s="109">
        <v>4.9590244362124796E-3</v>
      </c>
      <c r="K83" s="109">
        <v>3.4622595243608798E-4</v>
      </c>
      <c r="L83" s="109">
        <v>1.70940149347036E-3</v>
      </c>
      <c r="M83" s="109">
        <v>1.70940149347036E-3</v>
      </c>
      <c r="N83" s="108">
        <v>1.3581908030981401E-3</v>
      </c>
      <c r="O83" s="108">
        <v>1.5771066024583E-3</v>
      </c>
      <c r="P83" s="108">
        <v>3.7367897719422899E-3</v>
      </c>
      <c r="Q83" s="108">
        <v>1.44704602240498E-3</v>
      </c>
      <c r="R83" s="108">
        <v>1.7786587523485301E-3</v>
      </c>
      <c r="S83" s="108">
        <v>3.85539043275106E-3</v>
      </c>
      <c r="T83" s="108">
        <v>7.6820160030740599E-3</v>
      </c>
      <c r="U83" s="108">
        <v>3.1047141016727401E-2</v>
      </c>
      <c r="V83" s="108">
        <v>1.74774899623482E-2</v>
      </c>
    </row>
    <row r="84" spans="1:22" ht="15.6">
      <c r="A84" s="110" t="s">
        <v>456</v>
      </c>
      <c r="B84" s="110" t="s">
        <v>457</v>
      </c>
      <c r="C84" s="110" t="s">
        <v>114</v>
      </c>
      <c r="D84" s="110" t="s">
        <v>121</v>
      </c>
      <c r="E84" s="109">
        <v>0</v>
      </c>
      <c r="F84" s="109" t="s">
        <v>1550</v>
      </c>
      <c r="G84" s="109" t="s">
        <v>1550</v>
      </c>
      <c r="H84" s="109" t="s">
        <v>1550</v>
      </c>
      <c r="I84" s="109" t="s">
        <v>1550</v>
      </c>
      <c r="J84" s="109" t="s">
        <v>1550</v>
      </c>
      <c r="K84" s="109" t="s">
        <v>1550</v>
      </c>
      <c r="L84" s="109" t="s">
        <v>1550</v>
      </c>
      <c r="M84" s="109">
        <v>2.0490260580171564E-3</v>
      </c>
      <c r="N84" s="111">
        <v>0</v>
      </c>
      <c r="O84" s="111">
        <v>0</v>
      </c>
      <c r="P84" s="111">
        <v>0</v>
      </c>
      <c r="Q84" s="111">
        <v>0</v>
      </c>
      <c r="R84" s="111">
        <v>0</v>
      </c>
      <c r="S84" s="111">
        <v>0</v>
      </c>
      <c r="T84" s="111">
        <v>0</v>
      </c>
      <c r="U84" s="111">
        <v>0</v>
      </c>
      <c r="V84" s="111" t="s">
        <v>1550</v>
      </c>
    </row>
    <row r="85" spans="1:22" ht="15.6">
      <c r="A85" s="110" t="s">
        <v>454</v>
      </c>
      <c r="B85" s="110" t="s">
        <v>455</v>
      </c>
      <c r="C85" s="110" t="s">
        <v>116</v>
      </c>
      <c r="D85" s="110" t="s">
        <v>325</v>
      </c>
      <c r="E85" s="109">
        <v>253.92</v>
      </c>
      <c r="F85" s="109">
        <v>6.5658434015854401E-4</v>
      </c>
      <c r="G85" s="109">
        <v>3.0947169558845199E-3</v>
      </c>
      <c r="H85" s="109">
        <v>5.1030329543825595E-3</v>
      </c>
      <c r="I85" s="109">
        <v>2.2436031631674702E-4</v>
      </c>
      <c r="J85" s="109">
        <v>2.5527848891729703E-3</v>
      </c>
      <c r="K85" s="109">
        <v>7.5752983829574906E-4</v>
      </c>
      <c r="L85" s="109">
        <v>3.9103304365515996E-3</v>
      </c>
      <c r="M85" s="109">
        <v>3.9103304365515996E-3</v>
      </c>
      <c r="N85" s="108">
        <v>4.6857438643915501E-4</v>
      </c>
      <c r="O85" s="108">
        <v>1.1781400391405999E-3</v>
      </c>
      <c r="P85" s="108">
        <v>3.4624891655133001E-3</v>
      </c>
      <c r="Q85" s="108">
        <v>5.4072180661083799E-4</v>
      </c>
      <c r="R85" s="108">
        <v>1.21017275460452E-3</v>
      </c>
      <c r="S85" s="108">
        <v>1.8776839694262099E-3</v>
      </c>
      <c r="T85" s="108">
        <v>3.0055016029596903E-3</v>
      </c>
      <c r="U85" s="108">
        <v>1.51790764607352E-2</v>
      </c>
      <c r="V85" s="108">
        <v>1.0992092610315699E-2</v>
      </c>
    </row>
    <row r="86" spans="1:22" ht="15.6">
      <c r="A86" s="110" t="s">
        <v>74</v>
      </c>
      <c r="B86" s="110" t="s">
        <v>75</v>
      </c>
      <c r="C86" s="110" t="s">
        <v>115</v>
      </c>
      <c r="D86" s="110" t="s">
        <v>121</v>
      </c>
      <c r="E86" s="109">
        <v>1384.12</v>
      </c>
      <c r="F86" s="109">
        <v>2.0872396874108402E-5</v>
      </c>
      <c r="G86" s="109">
        <v>6.6466657323316299E-5</v>
      </c>
      <c r="H86" s="109">
        <v>3.7795012343783699E-4</v>
      </c>
      <c r="I86" s="109">
        <v>1.9889350914013798E-5</v>
      </c>
      <c r="J86" s="109">
        <v>7.8139448762804108E-3</v>
      </c>
      <c r="K86" s="109">
        <v>7.5941830827595596E-4</v>
      </c>
      <c r="L86" s="109">
        <v>1.3689341001318299E-3</v>
      </c>
      <c r="M86" s="109">
        <v>1.3689341001318299E-3</v>
      </c>
      <c r="N86" s="108">
        <v>9.2997408023174505E-4</v>
      </c>
      <c r="O86" s="108">
        <v>5.1162030315116697E-3</v>
      </c>
      <c r="P86" s="108">
        <v>1.6550610116101101E-2</v>
      </c>
      <c r="Q86" s="108">
        <v>1.7669969261393001E-3</v>
      </c>
      <c r="R86" s="108">
        <v>2.4241002306457501E-3</v>
      </c>
      <c r="S86" s="108">
        <v>2.5933090760320498E-3</v>
      </c>
      <c r="T86" s="108">
        <v>1.05154003146158E-2</v>
      </c>
      <c r="U86" s="108">
        <v>4.58506099939269E-2</v>
      </c>
      <c r="V86" s="108">
        <v>5.6224025115460298E-2</v>
      </c>
    </row>
    <row r="87" spans="1:22" ht="15.6">
      <c r="A87" s="110" t="s">
        <v>452</v>
      </c>
      <c r="B87" s="110" t="s">
        <v>453</v>
      </c>
      <c r="C87" s="110" t="s">
        <v>116</v>
      </c>
      <c r="D87" s="110" t="s">
        <v>325</v>
      </c>
      <c r="E87" s="109">
        <v>57.88</v>
      </c>
      <c r="F87" s="109">
        <v>7.6170670822865395E-3</v>
      </c>
      <c r="G87" s="109">
        <v>1.6164675316436002E-2</v>
      </c>
      <c r="H87" s="109">
        <v>2.2802461130737001E-2</v>
      </c>
      <c r="I87" s="109">
        <v>5.8551967919292496E-3</v>
      </c>
      <c r="J87" s="109">
        <v>2.7632775871036302E-3</v>
      </c>
      <c r="K87" s="109">
        <v>4.8872224900978797E-4</v>
      </c>
      <c r="L87" s="109">
        <v>1.70902155049043E-3</v>
      </c>
      <c r="M87" s="109">
        <v>1.70902155049043E-3</v>
      </c>
      <c r="N87" s="108">
        <v>5.8309304410287903E-4</v>
      </c>
      <c r="O87" s="108">
        <v>1.6750228889632101E-3</v>
      </c>
      <c r="P87" s="108">
        <v>2.47508963005489E-3</v>
      </c>
      <c r="Q87" s="108">
        <v>7.3002939413515701E-4</v>
      </c>
      <c r="R87" s="108">
        <v>1.22212417017942E-3</v>
      </c>
      <c r="S87" s="108">
        <v>4.2826375128566302E-3</v>
      </c>
      <c r="T87" s="108">
        <v>5.4252334436772007E-3</v>
      </c>
      <c r="U87" s="108">
        <v>2.1313370451799603E-2</v>
      </c>
      <c r="V87" s="108">
        <v>7.7658659331058906E-3</v>
      </c>
    </row>
    <row r="88" spans="1:22" ht="15.6">
      <c r="A88" s="110" t="s">
        <v>458</v>
      </c>
      <c r="B88" s="110" t="s">
        <v>459</v>
      </c>
      <c r="C88" s="110" t="s">
        <v>115</v>
      </c>
      <c r="D88" s="110" t="s">
        <v>121</v>
      </c>
      <c r="E88" s="109">
        <v>1381.62</v>
      </c>
      <c r="F88" s="109">
        <v>3.4883058918685202E-5</v>
      </c>
      <c r="G88" s="109">
        <v>2.73635673922173E-4</v>
      </c>
      <c r="H88" s="109">
        <v>5.3806500416327401E-4</v>
      </c>
      <c r="I88" s="109">
        <v>2.0130860619401799E-5</v>
      </c>
      <c r="J88" s="109">
        <v>8.6739873690582798E-3</v>
      </c>
      <c r="K88" s="109">
        <v>1.49036995808402E-3</v>
      </c>
      <c r="L88" s="109">
        <v>1.47953918678707E-3</v>
      </c>
      <c r="M88" s="109">
        <v>1.47953918678707E-3</v>
      </c>
      <c r="N88" s="108">
        <v>4.4566678627277201E-3</v>
      </c>
      <c r="O88" s="108">
        <v>6.5230553504903692E-3</v>
      </c>
      <c r="P88" s="108">
        <v>2.2303491646090502E-2</v>
      </c>
      <c r="Q88" s="108">
        <v>1.74618114741259E-3</v>
      </c>
      <c r="R88" s="108">
        <v>3.7701176012494698E-3</v>
      </c>
      <c r="S88" s="108">
        <v>1.63933699665499E-3</v>
      </c>
      <c r="T88" s="108">
        <v>1.34903335686945E-2</v>
      </c>
      <c r="U88" s="108">
        <v>5.9628792027762001E-2</v>
      </c>
      <c r="V88" s="108">
        <v>6.9454603420204208E-2</v>
      </c>
    </row>
    <row r="89" spans="1:22" ht="15.6">
      <c r="A89" s="110" t="s">
        <v>464</v>
      </c>
      <c r="B89" s="110" t="s">
        <v>465</v>
      </c>
      <c r="C89" s="110" t="s">
        <v>114</v>
      </c>
      <c r="D89" s="110" t="s">
        <v>322</v>
      </c>
      <c r="E89" s="109">
        <v>160.63999999999999</v>
      </c>
      <c r="F89" s="109">
        <v>9.71603697068749E-4</v>
      </c>
      <c r="G89" s="109">
        <v>2.26314520317862E-3</v>
      </c>
      <c r="H89" s="109">
        <v>6.3625193906580099E-3</v>
      </c>
      <c r="I89" s="109">
        <v>4.5737503656374399E-4</v>
      </c>
      <c r="J89" s="109">
        <v>6.4367675990399005E-3</v>
      </c>
      <c r="K89" s="109">
        <v>1.30737434013929E-3</v>
      </c>
      <c r="L89" s="109">
        <v>5.8914184419301798E-3</v>
      </c>
      <c r="M89" s="109">
        <v>5.8914184419301798E-3</v>
      </c>
      <c r="N89" s="108">
        <v>2.8542563096304398E-4</v>
      </c>
      <c r="O89" s="108">
        <v>1.3968829950760701E-3</v>
      </c>
      <c r="P89" s="108">
        <v>9.1418893640172992E-3</v>
      </c>
      <c r="Q89" s="108">
        <v>1.1263561955124799E-3</v>
      </c>
      <c r="R89" s="108">
        <v>1.2934712939274601E-3</v>
      </c>
      <c r="S89" s="108">
        <v>3.8972081256510201E-3</v>
      </c>
      <c r="T89" s="108">
        <v>4.3122026946582296E-3</v>
      </c>
      <c r="U89" s="108">
        <v>2.9704550276027499E-2</v>
      </c>
      <c r="V89" s="108">
        <v>2.8617548278605399E-2</v>
      </c>
    </row>
    <row r="90" spans="1:22" ht="15.6">
      <c r="A90" s="110" t="s">
        <v>754</v>
      </c>
      <c r="B90" s="110" t="s">
        <v>755</v>
      </c>
      <c r="C90" s="110" t="s">
        <v>115</v>
      </c>
      <c r="D90" s="110" t="s">
        <v>121</v>
      </c>
      <c r="E90" s="109">
        <v>0</v>
      </c>
      <c r="F90" s="109" t="s">
        <v>1550</v>
      </c>
      <c r="G90" s="109" t="s">
        <v>1550</v>
      </c>
      <c r="H90" s="109" t="s">
        <v>1550</v>
      </c>
      <c r="I90" s="109" t="s">
        <v>1550</v>
      </c>
      <c r="J90" s="109" t="s">
        <v>1550</v>
      </c>
      <c r="K90" s="109" t="s">
        <v>1550</v>
      </c>
      <c r="L90" s="109" t="s">
        <v>1550</v>
      </c>
      <c r="M90" s="109">
        <v>1.7440177336787376E-3</v>
      </c>
      <c r="N90" s="111">
        <v>0</v>
      </c>
      <c r="O90" s="111">
        <v>0</v>
      </c>
      <c r="P90" s="111">
        <v>0</v>
      </c>
      <c r="Q90" s="111">
        <v>0</v>
      </c>
      <c r="R90" s="111">
        <v>0</v>
      </c>
      <c r="S90" s="111">
        <v>0</v>
      </c>
      <c r="T90" s="111">
        <v>0</v>
      </c>
      <c r="U90" s="111">
        <v>0</v>
      </c>
      <c r="V90" s="111" t="s">
        <v>1550</v>
      </c>
    </row>
    <row r="91" spans="1:22" ht="15.6">
      <c r="A91" s="110" t="s">
        <v>462</v>
      </c>
      <c r="B91" s="110" t="s">
        <v>463</v>
      </c>
      <c r="C91" s="110" t="s">
        <v>118</v>
      </c>
      <c r="D91" s="110" t="s">
        <v>325</v>
      </c>
      <c r="E91" s="109">
        <v>74.040000000000006</v>
      </c>
      <c r="F91" s="109">
        <v>2.8171047427340301E-3</v>
      </c>
      <c r="G91" s="109">
        <v>6.6504910433714398E-3</v>
      </c>
      <c r="H91" s="109">
        <v>1.1616703662708601E-2</v>
      </c>
      <c r="I91" s="109">
        <v>1.6190144421454401E-3</v>
      </c>
      <c r="J91" s="109">
        <v>5.3733306482676504E-3</v>
      </c>
      <c r="K91" s="109">
        <v>2.4711765303995501E-3</v>
      </c>
      <c r="L91" s="109">
        <v>3.1229736613582202E-3</v>
      </c>
      <c r="M91" s="109">
        <v>3.1229736613582202E-3</v>
      </c>
      <c r="N91" s="108">
        <v>5.4175263324022897E-4</v>
      </c>
      <c r="O91" s="108">
        <v>5.0892535432405504E-4</v>
      </c>
      <c r="P91" s="108">
        <v>3.5815762827642299E-3</v>
      </c>
      <c r="Q91" s="108">
        <v>5.5197901040149701E-4</v>
      </c>
      <c r="R91" s="108">
        <v>2.7869142963186499E-3</v>
      </c>
      <c r="S91" s="108">
        <v>2.6356817543686903E-3</v>
      </c>
      <c r="T91" s="108">
        <v>5.1442778982657604E-3</v>
      </c>
      <c r="U91" s="108">
        <v>2.32932056996661E-2</v>
      </c>
      <c r="V91" s="108">
        <v>1.9294915943941299E-2</v>
      </c>
    </row>
    <row r="92" spans="1:22" ht="15.6">
      <c r="A92" s="110" t="s">
        <v>470</v>
      </c>
      <c r="B92" s="110" t="s">
        <v>471</v>
      </c>
      <c r="C92" s="110" t="s">
        <v>115</v>
      </c>
      <c r="D92" s="110" t="s">
        <v>121</v>
      </c>
      <c r="E92" s="109">
        <v>6764.26</v>
      </c>
      <c r="F92" s="109">
        <v>1.1223834929507199E-5</v>
      </c>
      <c r="G92" s="109">
        <v>2.7178848508547603E-5</v>
      </c>
      <c r="H92" s="109">
        <v>1.81431104269321E-5</v>
      </c>
      <c r="I92" s="109">
        <v>3.8394135789793403E-5</v>
      </c>
      <c r="J92" s="109">
        <v>2.09369420829307E-3</v>
      </c>
      <c r="K92" s="109">
        <v>7.2721622959262306E-4</v>
      </c>
      <c r="L92" s="109">
        <v>2.0411234493546699E-3</v>
      </c>
      <c r="M92" s="109">
        <v>2.0411234493546699E-3</v>
      </c>
      <c r="N92" s="108">
        <v>1.9659320841975002E-3</v>
      </c>
      <c r="O92" s="108">
        <v>4.5810904554873799E-3</v>
      </c>
      <c r="P92" s="108">
        <v>1.2618886402691299E-3</v>
      </c>
      <c r="Q92" s="108">
        <v>8.9291355435438798E-4</v>
      </c>
      <c r="R92" s="108">
        <v>9.2344130451641306E-4</v>
      </c>
      <c r="S92" s="108">
        <v>8.62496107790011E-4</v>
      </c>
      <c r="T92" s="108">
        <v>3.4533975957961398E-3</v>
      </c>
      <c r="U92" s="108">
        <v>1.63448112135905E-2</v>
      </c>
      <c r="V92" s="108">
        <v>2.96191909966949E-2</v>
      </c>
    </row>
    <row r="93" spans="1:22" ht="15.6">
      <c r="A93" s="110" t="s">
        <v>466</v>
      </c>
      <c r="B93" s="110" t="s">
        <v>467</v>
      </c>
      <c r="C93" s="110" t="s">
        <v>117</v>
      </c>
      <c r="D93" s="110" t="s">
        <v>325</v>
      </c>
      <c r="E93" s="109">
        <v>392.54</v>
      </c>
      <c r="F93" s="109">
        <v>1.5333852314624999E-4</v>
      </c>
      <c r="G93" s="109">
        <v>3.2051001654221799E-4</v>
      </c>
      <c r="H93" s="109">
        <v>1.1772205564010299E-3</v>
      </c>
      <c r="I93" s="109">
        <v>1.3078565444821501E-4</v>
      </c>
      <c r="J93" s="109">
        <v>3.6865230443923298E-3</v>
      </c>
      <c r="K93" s="109">
        <v>4.5982966457363503E-4</v>
      </c>
      <c r="L93" s="109">
        <v>1.7544731399371999E-3</v>
      </c>
      <c r="M93" s="109">
        <v>1.7544731399371999E-3</v>
      </c>
      <c r="N93" s="108">
        <v>4.6408596742401301E-4</v>
      </c>
      <c r="O93" s="108">
        <v>1.49050714585097E-3</v>
      </c>
      <c r="P93" s="108">
        <v>1.1160397130297601E-3</v>
      </c>
      <c r="Q93" s="108">
        <v>9.0335764415139588E-4</v>
      </c>
      <c r="R93" s="108">
        <v>2.97631987144064E-3</v>
      </c>
      <c r="S93" s="108">
        <v>3.3701781053122997E-4</v>
      </c>
      <c r="T93" s="108">
        <v>8.0407460243254996E-3</v>
      </c>
      <c r="U93" s="108">
        <v>1.7481877722453701E-2</v>
      </c>
      <c r="V93" s="108">
        <v>1.45851818190796E-2</v>
      </c>
    </row>
    <row r="94" spans="1:22" ht="15.6">
      <c r="A94" s="110" t="s">
        <v>468</v>
      </c>
      <c r="B94" s="110" t="s">
        <v>469</v>
      </c>
      <c r="C94" s="110" t="s">
        <v>117</v>
      </c>
      <c r="D94" s="110" t="s">
        <v>322</v>
      </c>
      <c r="E94" s="109">
        <v>248.92</v>
      </c>
      <c r="F94" s="109">
        <v>1.13950840645525E-4</v>
      </c>
      <c r="G94" s="109">
        <v>5.28745651743453E-4</v>
      </c>
      <c r="H94" s="109">
        <v>1.5848686366474001E-3</v>
      </c>
      <c r="I94" s="109">
        <v>1.0330241898904599E-4</v>
      </c>
      <c r="J94" s="109">
        <v>5.0103587778486704E-3</v>
      </c>
      <c r="K94" s="109">
        <v>1.42642534487914E-4</v>
      </c>
      <c r="L94" s="109">
        <v>1.87301508746795E-3</v>
      </c>
      <c r="M94" s="109">
        <v>1.87301508746795E-3</v>
      </c>
      <c r="N94" s="108">
        <v>4.3398511635541604E-4</v>
      </c>
      <c r="O94" s="108">
        <v>9.5729086222610699E-4</v>
      </c>
      <c r="P94" s="108">
        <v>1.1704306916698502E-3</v>
      </c>
      <c r="Q94" s="108">
        <v>9.5561220265307195E-4</v>
      </c>
      <c r="R94" s="108">
        <v>1.9465642090210401E-3</v>
      </c>
      <c r="S94" s="108">
        <v>5.5773134736325503E-4</v>
      </c>
      <c r="T94" s="108">
        <v>7.3250701092249298E-3</v>
      </c>
      <c r="U94" s="108">
        <v>2.04738144356434E-2</v>
      </c>
      <c r="V94" s="108">
        <v>1.7812578191909598E-2</v>
      </c>
    </row>
    <row r="95" spans="1:22" ht="15.6">
      <c r="A95" s="110" t="s">
        <v>460</v>
      </c>
      <c r="B95" s="110" t="s">
        <v>461</v>
      </c>
      <c r="C95" s="110" t="s">
        <v>115</v>
      </c>
      <c r="D95" s="110" t="s">
        <v>121</v>
      </c>
      <c r="E95" s="109">
        <v>6716.37</v>
      </c>
      <c r="F95" s="109">
        <v>1.5478905326503001E-5</v>
      </c>
      <c r="G95" s="109">
        <v>1.40794424923924E-5</v>
      </c>
      <c r="H95" s="109">
        <v>2.3355552693364202E-5</v>
      </c>
      <c r="I95" s="109">
        <v>3.3189972937085501E-5</v>
      </c>
      <c r="J95" s="109">
        <v>2.1579991516491198E-3</v>
      </c>
      <c r="K95" s="109">
        <v>6.9343456374659101E-4</v>
      </c>
      <c r="L95" s="109">
        <v>1.76958329560948E-3</v>
      </c>
      <c r="M95" s="109">
        <v>1.76958329560948E-3</v>
      </c>
      <c r="N95" s="108">
        <v>1.9351556147532802E-3</v>
      </c>
      <c r="O95" s="108">
        <v>3.4739463937573799E-3</v>
      </c>
      <c r="P95" s="108">
        <v>1.7970868176286502E-3</v>
      </c>
      <c r="Q95" s="108">
        <v>6.3944463702804194E-4</v>
      </c>
      <c r="R95" s="108">
        <v>1.1423426192945299E-3</v>
      </c>
      <c r="S95" s="108">
        <v>1.2886224962363598E-3</v>
      </c>
      <c r="T95" s="108">
        <v>4.1710153470367198E-3</v>
      </c>
      <c r="U95" s="108">
        <v>1.6521418244378798E-2</v>
      </c>
      <c r="V95" s="108">
        <v>2.4779938332218098E-2</v>
      </c>
    </row>
    <row r="96" spans="1:22" ht="15.6">
      <c r="A96" s="110" t="s">
        <v>472</v>
      </c>
      <c r="B96" s="110" t="s">
        <v>473</v>
      </c>
      <c r="C96" s="110" t="s">
        <v>117</v>
      </c>
      <c r="D96" s="110" t="s">
        <v>121</v>
      </c>
      <c r="E96" s="109">
        <v>4338.9399999999996</v>
      </c>
      <c r="F96" s="109">
        <v>2.2106865625018098E-5</v>
      </c>
      <c r="G96" s="109">
        <v>3.63666707338923E-5</v>
      </c>
      <c r="H96" s="109">
        <v>4.4732892322038103E-5</v>
      </c>
      <c r="I96" s="109">
        <v>2.4991040325675601E-5</v>
      </c>
      <c r="J96" s="109">
        <v>1.55604627059959E-3</v>
      </c>
      <c r="K96" s="109">
        <v>3.1650919106898998E-4</v>
      </c>
      <c r="L96" s="109">
        <v>1.4099024528027601E-3</v>
      </c>
      <c r="M96" s="109">
        <v>1.4099024528027601E-3</v>
      </c>
      <c r="N96" s="108">
        <v>1.2336368819570499E-3</v>
      </c>
      <c r="O96" s="108">
        <v>1.7530850280896499E-3</v>
      </c>
      <c r="P96" s="108">
        <v>1.17805872528204E-3</v>
      </c>
      <c r="Q96" s="108">
        <v>7.3625133146341698E-4</v>
      </c>
      <c r="R96" s="108">
        <v>4.34123961520798E-4</v>
      </c>
      <c r="S96" s="108">
        <v>5.1932935142994999E-5</v>
      </c>
      <c r="T96" s="108">
        <v>3.56362360031383E-3</v>
      </c>
      <c r="U96" s="108">
        <v>9.5343380612128992E-3</v>
      </c>
      <c r="V96" s="108">
        <v>1.6993769210331799E-2</v>
      </c>
    </row>
    <row r="97" spans="1:22" ht="15.6">
      <c r="A97" s="110" t="s">
        <v>474</v>
      </c>
      <c r="B97" s="110" t="s">
        <v>475</v>
      </c>
      <c r="C97" s="110" t="s">
        <v>115</v>
      </c>
      <c r="D97" s="110" t="s">
        <v>121</v>
      </c>
      <c r="E97" s="109">
        <v>3349.6</v>
      </c>
      <c r="F97" s="109">
        <v>9.5508552817380192E-6</v>
      </c>
      <c r="G97" s="109">
        <v>1.6388326361150002E-5</v>
      </c>
      <c r="H97" s="109">
        <v>2.7693631843182901E-5</v>
      </c>
      <c r="I97" s="109">
        <v>2.3460070892953402E-5</v>
      </c>
      <c r="J97" s="109">
        <v>3.2464635393959704E-3</v>
      </c>
      <c r="K97" s="109">
        <v>7.05811982229275E-4</v>
      </c>
      <c r="L97" s="109">
        <v>1.94584848616612E-3</v>
      </c>
      <c r="M97" s="109">
        <v>1.94584848616612E-3</v>
      </c>
      <c r="N97" s="108">
        <v>3.1921457797046099E-3</v>
      </c>
      <c r="O97" s="108">
        <v>4.63263874587888E-3</v>
      </c>
      <c r="P97" s="108">
        <v>3.1672219066344398E-3</v>
      </c>
      <c r="Q97" s="108">
        <v>9.3069641460953091E-4</v>
      </c>
      <c r="R97" s="108">
        <v>8.2756060034599999E-4</v>
      </c>
      <c r="S97" s="108">
        <v>8.9400008360505001E-4</v>
      </c>
      <c r="T97" s="108">
        <v>8.2506284063477986E-3</v>
      </c>
      <c r="U97" s="108">
        <v>2.3667521642994602E-2</v>
      </c>
      <c r="V97" s="108">
        <v>3.4161792581281103E-2</v>
      </c>
    </row>
    <row r="98" spans="1:22" ht="15.6">
      <c r="A98" s="110" t="s">
        <v>476</v>
      </c>
      <c r="B98" s="110" t="s">
        <v>477</v>
      </c>
      <c r="C98" s="110" t="s">
        <v>116</v>
      </c>
      <c r="D98" s="110" t="s">
        <v>322</v>
      </c>
      <c r="E98" s="109">
        <v>372.45</v>
      </c>
      <c r="F98" s="109">
        <v>3.1215158006980999E-4</v>
      </c>
      <c r="G98" s="109">
        <v>6.4638933832050197E-4</v>
      </c>
      <c r="H98" s="109">
        <v>1.3572278587977299E-3</v>
      </c>
      <c r="I98" s="109">
        <v>3.7470973713827802E-4</v>
      </c>
      <c r="J98" s="109">
        <v>3.2863399278683101E-3</v>
      </c>
      <c r="K98" s="109">
        <v>6.1056459552044303E-4</v>
      </c>
      <c r="L98" s="109">
        <v>1.56011641735133E-3</v>
      </c>
      <c r="M98" s="109">
        <v>1.56011641735133E-3</v>
      </c>
      <c r="N98" s="108">
        <v>9.9445816301433395E-4</v>
      </c>
      <c r="O98" s="108">
        <v>1.894569364582E-3</v>
      </c>
      <c r="P98" s="108">
        <v>2.2069779757095303E-3</v>
      </c>
      <c r="Q98" s="108">
        <v>9.5773557113397305E-4</v>
      </c>
      <c r="R98" s="108">
        <v>7.0071947220940801E-4</v>
      </c>
      <c r="S98" s="108">
        <v>1.5997144378248E-3</v>
      </c>
      <c r="T98" s="108">
        <v>4.9221434585987002E-3</v>
      </c>
      <c r="U98" s="108">
        <v>1.7419782089250001E-2</v>
      </c>
      <c r="V98" s="108">
        <v>1.6314605002988702E-2</v>
      </c>
    </row>
    <row r="99" spans="1:22" ht="15.6">
      <c r="A99" s="110" t="s">
        <v>480</v>
      </c>
      <c r="B99" s="110" t="s">
        <v>481</v>
      </c>
      <c r="C99" s="110" t="s">
        <v>117</v>
      </c>
      <c r="D99" s="110" t="s">
        <v>325</v>
      </c>
      <c r="E99" s="109">
        <v>299.07</v>
      </c>
      <c r="F99" s="109">
        <v>1.21572318853675E-4</v>
      </c>
      <c r="G99" s="109">
        <v>1.05439276756048E-4</v>
      </c>
      <c r="H99" s="109">
        <v>7.7670734933507103E-4</v>
      </c>
      <c r="I99" s="109">
        <v>1.7081198046408599E-4</v>
      </c>
      <c r="J99" s="109">
        <v>3.1303765712852099E-3</v>
      </c>
      <c r="K99" s="109">
        <v>1.68953220098009E-4</v>
      </c>
      <c r="L99" s="109">
        <v>9.7631817897759598E-4</v>
      </c>
      <c r="M99" s="109">
        <v>9.7631817897759598E-4</v>
      </c>
      <c r="N99" s="108">
        <v>3.3037025096460904E-4</v>
      </c>
      <c r="O99" s="108">
        <v>1.1187976589887801E-3</v>
      </c>
      <c r="P99" s="108">
        <v>6.7260001937589605E-4</v>
      </c>
      <c r="Q99" s="108">
        <v>4.4375293442188004E-4</v>
      </c>
      <c r="R99" s="108">
        <v>9.8882254143667901E-4</v>
      </c>
      <c r="S99" s="108">
        <v>6.8986879462996594E-4</v>
      </c>
      <c r="T99" s="108">
        <v>4.9245368625418307E-3</v>
      </c>
      <c r="U99" s="108">
        <v>1.1440840162408001E-2</v>
      </c>
      <c r="V99" s="108">
        <v>1.38259789034588E-2</v>
      </c>
    </row>
    <row r="100" spans="1:22" ht="15.6">
      <c r="A100" s="110" t="s">
        <v>478</v>
      </c>
      <c r="B100" s="110" t="s">
        <v>479</v>
      </c>
      <c r="C100" s="110" t="s">
        <v>114</v>
      </c>
      <c r="D100" s="110" t="s">
        <v>121</v>
      </c>
      <c r="E100" s="109">
        <v>4347.34</v>
      </c>
      <c r="F100" s="109">
        <v>1.6175994203209E-5</v>
      </c>
      <c r="G100" s="109">
        <v>1.4672990829088699E-5</v>
      </c>
      <c r="H100" s="109">
        <v>7.7841188459932504E-5</v>
      </c>
      <c r="I100" s="109">
        <v>1.84751375626719E-4</v>
      </c>
      <c r="J100" s="109">
        <v>2.5566596259672301E-3</v>
      </c>
      <c r="K100" s="109">
        <v>7.1462409212026798E-4</v>
      </c>
      <c r="L100" s="109">
        <v>1.8066438080072101E-3</v>
      </c>
      <c r="M100" s="109">
        <v>1.8066438080072101E-3</v>
      </c>
      <c r="N100" s="108">
        <v>1.83463731432161E-3</v>
      </c>
      <c r="O100" s="108">
        <v>1.95203757514251E-3</v>
      </c>
      <c r="P100" s="108">
        <v>4.8330585688741295E-3</v>
      </c>
      <c r="Q100" s="108">
        <v>5.4220242938700998E-4</v>
      </c>
      <c r="R100" s="108">
        <v>7.5054922503045996E-4</v>
      </c>
      <c r="S100" s="108">
        <v>3.8808438661548601E-4</v>
      </c>
      <c r="T100" s="108">
        <v>4.0102377667332999E-3</v>
      </c>
      <c r="U100" s="108">
        <v>1.89588341486247E-2</v>
      </c>
      <c r="V100" s="108">
        <v>3.2971856051929101E-2</v>
      </c>
    </row>
    <row r="101" spans="1:22" ht="15.6">
      <c r="A101" s="110" t="s">
        <v>482</v>
      </c>
      <c r="B101" s="110" t="s">
        <v>483</v>
      </c>
      <c r="C101" s="110" t="s">
        <v>115</v>
      </c>
      <c r="D101" s="110" t="s">
        <v>322</v>
      </c>
      <c r="E101" s="109">
        <v>402.98</v>
      </c>
      <c r="F101" s="109">
        <v>8.0366511513192408E-5</v>
      </c>
      <c r="G101" s="109">
        <v>6.0654494718827702E-4</v>
      </c>
      <c r="H101" s="109">
        <v>7.3625814304763694E-4</v>
      </c>
      <c r="I101" s="109">
        <v>2.8274396625862098E-4</v>
      </c>
      <c r="J101" s="109">
        <v>5.6068881576881802E-3</v>
      </c>
      <c r="K101" s="109">
        <v>1.6730854259255198E-3</v>
      </c>
      <c r="L101" s="109">
        <v>2.2271618321815299E-3</v>
      </c>
      <c r="M101" s="109">
        <v>2.2271618321815299E-3</v>
      </c>
      <c r="N101" s="108">
        <v>2.2869222322755298E-3</v>
      </c>
      <c r="O101" s="108">
        <v>8.1445866066712502E-3</v>
      </c>
      <c r="P101" s="108">
        <v>5.8516633682048807E-3</v>
      </c>
      <c r="Q101" s="108">
        <v>1.09090973837124E-3</v>
      </c>
      <c r="R101" s="108">
        <v>1.41091110089506E-3</v>
      </c>
      <c r="S101" s="108">
        <v>3.1028796546570702E-4</v>
      </c>
      <c r="T101" s="108">
        <v>1.1363050111843499E-2</v>
      </c>
      <c r="U101" s="108">
        <v>3.6214761809605901E-2</v>
      </c>
      <c r="V101" s="108">
        <v>3.2787509615766E-2</v>
      </c>
    </row>
    <row r="102" spans="1:22" ht="15.6">
      <c r="A102" s="110" t="s">
        <v>484</v>
      </c>
      <c r="B102" s="110" t="s">
        <v>485</v>
      </c>
      <c r="C102" s="110" t="s">
        <v>119</v>
      </c>
      <c r="D102" s="110" t="s">
        <v>325</v>
      </c>
      <c r="E102" s="109">
        <v>94.67</v>
      </c>
      <c r="F102" s="109">
        <v>7.4886944909563101E-3</v>
      </c>
      <c r="G102" s="109">
        <v>1.41088134223687E-2</v>
      </c>
      <c r="H102" s="109">
        <v>1.91259900381212E-2</v>
      </c>
      <c r="I102" s="109">
        <v>4.3639714286717096E-3</v>
      </c>
      <c r="J102" s="109">
        <v>1.4955313865066401E-3</v>
      </c>
      <c r="K102" s="109">
        <v>5.9880726672732602E-4</v>
      </c>
      <c r="L102" s="109">
        <v>3.2788564077714999E-3</v>
      </c>
      <c r="M102" s="109">
        <v>3.2788564077714999E-3</v>
      </c>
      <c r="N102" s="108">
        <v>3.0825378281378101E-4</v>
      </c>
      <c r="O102" s="108">
        <v>9.3862510001604602E-4</v>
      </c>
      <c r="P102" s="108">
        <v>1.3749830386220901E-3</v>
      </c>
      <c r="Q102" s="108">
        <v>3.10899605891552E-4</v>
      </c>
      <c r="R102" s="108">
        <v>3.4187256107542902E-4</v>
      </c>
      <c r="S102" s="108">
        <v>1.20575911502028E-3</v>
      </c>
      <c r="T102" s="108">
        <v>1.5451294632529301E-3</v>
      </c>
      <c r="U102" s="108">
        <v>8.12182924511878E-3</v>
      </c>
      <c r="V102" s="108">
        <v>6.5461507575493997E-3</v>
      </c>
    </row>
    <row r="103" spans="1:22" ht="15.6">
      <c r="A103" s="110" t="s">
        <v>490</v>
      </c>
      <c r="B103" s="110" t="s">
        <v>491</v>
      </c>
      <c r="C103" s="110" t="s">
        <v>115</v>
      </c>
      <c r="D103" s="110" t="s">
        <v>325</v>
      </c>
      <c r="E103" s="109">
        <v>72.849999999999994</v>
      </c>
      <c r="F103" s="109">
        <v>1.6254192454297499E-4</v>
      </c>
      <c r="G103" s="109">
        <v>1.5671759809470001E-3</v>
      </c>
      <c r="H103" s="109">
        <v>1.55470266343795E-3</v>
      </c>
      <c r="I103" s="109">
        <v>2.9752177490291297E-4</v>
      </c>
      <c r="J103" s="109">
        <v>5.49429963307201E-3</v>
      </c>
      <c r="K103" s="109">
        <v>7.7397154311082403E-4</v>
      </c>
      <c r="L103" s="109">
        <v>1.51104837911076E-3</v>
      </c>
      <c r="M103" s="109">
        <v>1.51104837911076E-3</v>
      </c>
      <c r="N103" s="108">
        <v>1.3880271837947899E-3</v>
      </c>
      <c r="O103" s="108">
        <v>3.9997185241557294E-3</v>
      </c>
      <c r="P103" s="108">
        <v>3.9864285278094899E-3</v>
      </c>
      <c r="Q103" s="108">
        <v>5.6604901613109397E-4</v>
      </c>
      <c r="R103" s="108">
        <v>1.9842066919944197E-3</v>
      </c>
      <c r="S103" s="108">
        <v>5.0552761912195301E-4</v>
      </c>
      <c r="T103" s="108">
        <v>9.3799834184274296E-3</v>
      </c>
      <c r="U103" s="108">
        <v>2.8026840860962996E-2</v>
      </c>
      <c r="V103" s="108">
        <v>2.3046751566491098E-2</v>
      </c>
    </row>
    <row r="104" spans="1:22" ht="15.6">
      <c r="A104" s="110" t="s">
        <v>374</v>
      </c>
      <c r="B104" s="110" t="s">
        <v>375</v>
      </c>
      <c r="C104" s="110" t="s">
        <v>114</v>
      </c>
      <c r="D104" s="110" t="s">
        <v>325</v>
      </c>
      <c r="E104" s="109">
        <v>122.42</v>
      </c>
      <c r="F104" s="109">
        <v>6.4057885980746095E-4</v>
      </c>
      <c r="G104" s="109">
        <v>2.2181981037696498E-3</v>
      </c>
      <c r="H104" s="109">
        <v>3.7337485771875901E-3</v>
      </c>
      <c r="I104" s="109">
        <v>2.5623892890411599E-3</v>
      </c>
      <c r="J104" s="109">
        <v>7.6983363410751899E-3</v>
      </c>
      <c r="K104" s="109">
        <v>1.15262125087012E-3</v>
      </c>
      <c r="L104" s="109">
        <v>4.3975578847185197E-3</v>
      </c>
      <c r="M104" s="109">
        <v>4.3975578847185197E-3</v>
      </c>
      <c r="N104" s="108">
        <v>2.3988074303734599E-4</v>
      </c>
      <c r="O104" s="108">
        <v>1.81293619233556E-3</v>
      </c>
      <c r="P104" s="108">
        <v>5.66450579722031E-3</v>
      </c>
      <c r="Q104" s="108">
        <v>4.7349986403637305E-4</v>
      </c>
      <c r="R104" s="108">
        <v>8.2209662843358601E-4</v>
      </c>
      <c r="S104" s="108">
        <v>3.33722490032434E-3</v>
      </c>
      <c r="T104" s="108">
        <v>2.1912575546739099E-3</v>
      </c>
      <c r="U104" s="108">
        <v>2.1900952241740903E-2</v>
      </c>
      <c r="V104" s="108">
        <v>2.6905768136361398E-2</v>
      </c>
    </row>
    <row r="105" spans="1:22" ht="15.6">
      <c r="A105" s="110" t="s">
        <v>486</v>
      </c>
      <c r="B105" s="110" t="s">
        <v>487</v>
      </c>
      <c r="C105" s="110" t="s">
        <v>114</v>
      </c>
      <c r="D105" s="110" t="s">
        <v>325</v>
      </c>
      <c r="E105" s="109">
        <v>261.52999999999997</v>
      </c>
      <c r="F105" s="109">
        <v>1.6566198592416299E-3</v>
      </c>
      <c r="G105" s="109">
        <v>8.1889578893306701E-3</v>
      </c>
      <c r="H105" s="109">
        <v>1.2959431246300801E-2</v>
      </c>
      <c r="I105" s="109">
        <v>9.0453383995631794E-4</v>
      </c>
      <c r="J105" s="109">
        <v>1.58106376426938E-2</v>
      </c>
      <c r="K105" s="109">
        <v>3.80253091836392E-4</v>
      </c>
      <c r="L105" s="109">
        <v>2.26754271339594E-3</v>
      </c>
      <c r="M105" s="109">
        <v>2.26754271339594E-3</v>
      </c>
      <c r="N105" s="108">
        <v>1.35581363542961E-3</v>
      </c>
      <c r="O105" s="108">
        <v>5.3958738873224601E-3</v>
      </c>
      <c r="P105" s="108">
        <v>6.5137083373662096E-3</v>
      </c>
      <c r="Q105" s="108">
        <v>1.4778326587728799E-3</v>
      </c>
      <c r="R105" s="108">
        <v>2.6126671683919397E-3</v>
      </c>
      <c r="S105" s="108">
        <v>8.3510575674188205E-3</v>
      </c>
      <c r="T105" s="108">
        <v>1.3066833497716699E-2</v>
      </c>
      <c r="U105" s="108">
        <v>4.9152685353012406E-2</v>
      </c>
      <c r="V105" s="108">
        <v>7.2131186022088595E-2</v>
      </c>
    </row>
    <row r="106" spans="1:22" ht="15.6">
      <c r="A106" s="110" t="s">
        <v>616</v>
      </c>
      <c r="B106" s="110" t="s">
        <v>617</v>
      </c>
      <c r="C106" s="110" t="s">
        <v>116</v>
      </c>
      <c r="D106" s="110" t="s">
        <v>121</v>
      </c>
      <c r="E106" s="109">
        <v>1114.3699999999999</v>
      </c>
      <c r="F106" s="109">
        <v>3.9544264055274E-4</v>
      </c>
      <c r="G106" s="109">
        <v>5.3420917497331698E-4</v>
      </c>
      <c r="H106" s="109">
        <v>2.4501745267804598E-3</v>
      </c>
      <c r="I106" s="109">
        <v>5.7942051573715901E-4</v>
      </c>
      <c r="J106" s="109">
        <v>3.6277839590939998E-3</v>
      </c>
      <c r="K106" s="109">
        <v>5.0011697725918199E-4</v>
      </c>
      <c r="L106" s="109">
        <v>1.24522480079417E-3</v>
      </c>
      <c r="M106" s="109">
        <v>1.24522480079417E-3</v>
      </c>
      <c r="N106" s="108">
        <v>9.1237680937878395E-4</v>
      </c>
      <c r="O106" s="108">
        <v>3.4425728720488E-3</v>
      </c>
      <c r="P106" s="108">
        <v>3.2656325125395699E-3</v>
      </c>
      <c r="Q106" s="108">
        <v>1.1379551378682602E-3</v>
      </c>
      <c r="R106" s="108">
        <v>1.0467113318765099E-3</v>
      </c>
      <c r="S106" s="108">
        <v>2.8999635305772499E-3</v>
      </c>
      <c r="T106" s="108">
        <v>6.6036898559888695E-3</v>
      </c>
      <c r="U106" s="108">
        <v>2.80971635575527E-2</v>
      </c>
      <c r="V106" s="108">
        <v>1.25423724688842E-2</v>
      </c>
    </row>
    <row r="107" spans="1:22" ht="15.6">
      <c r="A107" s="110" t="s">
        <v>488</v>
      </c>
      <c r="B107" s="110" t="s">
        <v>489</v>
      </c>
      <c r="C107" s="110" t="s">
        <v>114</v>
      </c>
      <c r="D107" s="110" t="s">
        <v>121</v>
      </c>
      <c r="E107" s="109">
        <v>3260.45</v>
      </c>
      <c r="F107" s="109">
        <v>2.37307935834022E-5</v>
      </c>
      <c r="G107" s="109">
        <v>1.9615585799149099E-5</v>
      </c>
      <c r="H107" s="109">
        <v>1.0945128297277201E-4</v>
      </c>
      <c r="I107" s="109">
        <v>7.0295311856281403E-5</v>
      </c>
      <c r="J107" s="109">
        <v>2.0105317237492097E-3</v>
      </c>
      <c r="K107" s="109">
        <v>7.1054077108541303E-4</v>
      </c>
      <c r="L107" s="109">
        <v>1.03499246609817E-3</v>
      </c>
      <c r="M107" s="109">
        <v>1.03499246609817E-3</v>
      </c>
      <c r="N107" s="108">
        <v>1.1283870016796599E-3</v>
      </c>
      <c r="O107" s="108">
        <v>2.8508524766943598E-3</v>
      </c>
      <c r="P107" s="108">
        <v>4.34787628970281E-3</v>
      </c>
      <c r="Q107" s="108">
        <v>4.1534131152788395E-4</v>
      </c>
      <c r="R107" s="108">
        <v>8.3221785844453801E-4</v>
      </c>
      <c r="S107" s="108">
        <v>3.0339995453281898E-4</v>
      </c>
      <c r="T107" s="108">
        <v>2.2821539639398401E-3</v>
      </c>
      <c r="U107" s="108">
        <v>1.5105645031920802E-2</v>
      </c>
      <c r="V107" s="108">
        <v>2.4217508443409502E-2</v>
      </c>
    </row>
    <row r="108" spans="1:22" ht="15.6">
      <c r="A108" s="110" t="s">
        <v>700</v>
      </c>
      <c r="B108" s="110" t="s">
        <v>701</v>
      </c>
      <c r="C108" s="110" t="s">
        <v>117</v>
      </c>
      <c r="D108" s="110" t="s">
        <v>121</v>
      </c>
      <c r="E108" s="109">
        <v>1860.78</v>
      </c>
      <c r="F108" s="109">
        <v>8.1476390871783796E-5</v>
      </c>
      <c r="G108" s="109">
        <v>5.0555392275967703E-5</v>
      </c>
      <c r="H108" s="109">
        <v>5.50983855048254E-4</v>
      </c>
      <c r="I108" s="109">
        <v>1.2150162500608E-4</v>
      </c>
      <c r="J108" s="109">
        <v>3.04322935569197E-3</v>
      </c>
      <c r="K108" s="109">
        <v>1.2921392477642098E-4</v>
      </c>
      <c r="L108" s="109">
        <v>1.9282310613313899E-3</v>
      </c>
      <c r="M108" s="109">
        <v>1.9282310613313899E-3</v>
      </c>
      <c r="N108" s="108">
        <v>4.5566704307838601E-4</v>
      </c>
      <c r="O108" s="108">
        <v>2.4204472153713701E-3</v>
      </c>
      <c r="P108" s="108">
        <v>1.33927653933232E-3</v>
      </c>
      <c r="Q108" s="108">
        <v>8.8695098154349791E-4</v>
      </c>
      <c r="R108" s="108">
        <v>1.37720793940954E-3</v>
      </c>
      <c r="S108" s="108">
        <v>1.4722629001395201E-4</v>
      </c>
      <c r="T108" s="108">
        <v>4.63781214598141E-3</v>
      </c>
      <c r="U108" s="108">
        <v>1.3590136476278799E-2</v>
      </c>
      <c r="V108" s="108">
        <v>1.30068007139539E-2</v>
      </c>
    </row>
    <row r="109" spans="1:22" ht="15.6">
      <c r="A109" s="110" t="s">
        <v>492</v>
      </c>
      <c r="B109" s="110" t="s">
        <v>493</v>
      </c>
      <c r="C109" s="110" t="s">
        <v>114</v>
      </c>
      <c r="D109" s="110" t="s">
        <v>325</v>
      </c>
      <c r="E109" s="109">
        <v>68.88</v>
      </c>
      <c r="F109" s="109">
        <v>1.3192761031685599E-3</v>
      </c>
      <c r="G109" s="109">
        <v>4.6100505211322902E-3</v>
      </c>
      <c r="H109" s="109">
        <v>6.9150748384487603E-3</v>
      </c>
      <c r="I109" s="109">
        <v>2.5664253049242597E-3</v>
      </c>
      <c r="J109" s="109">
        <v>7.42825656460438E-3</v>
      </c>
      <c r="K109" s="109">
        <v>1.2688134707278202E-3</v>
      </c>
      <c r="L109" s="109">
        <v>3.9380861183960095E-3</v>
      </c>
      <c r="M109" s="109">
        <v>3.9380861183960095E-3</v>
      </c>
      <c r="N109" s="108">
        <v>2.6999123929988999E-4</v>
      </c>
      <c r="O109" s="108">
        <v>2.6089989603180902E-3</v>
      </c>
      <c r="P109" s="108">
        <v>6.4943795843569402E-3</v>
      </c>
      <c r="Q109" s="108">
        <v>5.8949324055141501E-4</v>
      </c>
      <c r="R109" s="108">
        <v>1.01423334638966E-3</v>
      </c>
      <c r="S109" s="108">
        <v>2.62831098511912E-3</v>
      </c>
      <c r="T109" s="108">
        <v>2.7600852497533298E-3</v>
      </c>
      <c r="U109" s="108">
        <v>2.2908330682337101E-2</v>
      </c>
      <c r="V109" s="108">
        <v>2.3564827698731302E-2</v>
      </c>
    </row>
    <row r="110" spans="1:22" ht="15.6">
      <c r="A110" s="110" t="s">
        <v>496</v>
      </c>
      <c r="B110" s="110" t="s">
        <v>497</v>
      </c>
      <c r="C110" s="110" t="s">
        <v>117</v>
      </c>
      <c r="D110" s="110" t="s">
        <v>325</v>
      </c>
      <c r="E110" s="109">
        <v>307.13</v>
      </c>
      <c r="F110" s="109">
        <v>1.83245791976024E-4</v>
      </c>
      <c r="G110" s="109">
        <v>8.1501702483642604E-5</v>
      </c>
      <c r="H110" s="109">
        <v>1.5183126600358499E-3</v>
      </c>
      <c r="I110" s="109">
        <v>1.7846648601110298E-4</v>
      </c>
      <c r="J110" s="109">
        <v>7.06652351242018E-3</v>
      </c>
      <c r="K110" s="109">
        <v>5.4497531768122796E-4</v>
      </c>
      <c r="L110" s="109">
        <v>2.9664779447473302E-3</v>
      </c>
      <c r="M110" s="109">
        <v>2.9664779447473302E-3</v>
      </c>
      <c r="N110" s="108">
        <v>6.65570184366577E-4</v>
      </c>
      <c r="O110" s="108">
        <v>3.2076067678269904E-3</v>
      </c>
      <c r="P110" s="108">
        <v>1.47908456267327E-3</v>
      </c>
      <c r="Q110" s="108">
        <v>1.18076845106424E-3</v>
      </c>
      <c r="R110" s="108">
        <v>3.2353160366357702E-3</v>
      </c>
      <c r="S110" s="108">
        <v>1.42042723876558E-4</v>
      </c>
      <c r="T110" s="108">
        <v>1.3339847674741199E-2</v>
      </c>
      <c r="U110" s="108">
        <v>2.6113584419980799E-2</v>
      </c>
      <c r="V110" s="108">
        <v>3.9166550214683196E-2</v>
      </c>
    </row>
    <row r="111" spans="1:22" ht="15.6">
      <c r="A111" s="110" t="s">
        <v>500</v>
      </c>
      <c r="B111" s="110" t="s">
        <v>501</v>
      </c>
      <c r="C111" s="110" t="s">
        <v>119</v>
      </c>
      <c r="D111" s="110" t="s">
        <v>319</v>
      </c>
      <c r="E111" s="109">
        <v>112.27</v>
      </c>
      <c r="F111" s="109">
        <v>1.1583993076342499E-2</v>
      </c>
      <c r="G111" s="109">
        <v>2.0613160991007799E-2</v>
      </c>
      <c r="H111" s="109">
        <v>3.0010812698222498E-2</v>
      </c>
      <c r="I111" s="109">
        <v>4.3668467178958701E-3</v>
      </c>
      <c r="J111" s="109">
        <v>1.41468938978725E-3</v>
      </c>
      <c r="K111" s="109">
        <v>3.4605235847455902E-4</v>
      </c>
      <c r="L111" s="109">
        <v>2.4490071856807E-3</v>
      </c>
      <c r="M111" s="109">
        <v>2.4490071856807E-3</v>
      </c>
      <c r="N111" s="108">
        <v>5.4628145262857202E-4</v>
      </c>
      <c r="O111" s="108">
        <v>4.6024970119873799E-4</v>
      </c>
      <c r="P111" s="108">
        <v>1.42132290688813E-3</v>
      </c>
      <c r="Q111" s="108">
        <v>3.6219121726453702E-4</v>
      </c>
      <c r="R111" s="108">
        <v>4.57433901816542E-4</v>
      </c>
      <c r="S111" s="108">
        <v>1.7842011190379601E-3</v>
      </c>
      <c r="T111" s="108">
        <v>2.0291629913474899E-3</v>
      </c>
      <c r="U111" s="108">
        <v>1.02953868663449E-2</v>
      </c>
      <c r="V111" s="108">
        <v>4.6583672090893102E-3</v>
      </c>
    </row>
    <row r="112" spans="1:22" ht="15.6">
      <c r="A112" s="110" t="s">
        <v>702</v>
      </c>
      <c r="B112" s="110" t="s">
        <v>703</v>
      </c>
      <c r="C112" s="110" t="s">
        <v>117</v>
      </c>
      <c r="D112" s="110" t="s">
        <v>322</v>
      </c>
      <c r="E112" s="109">
        <v>0</v>
      </c>
      <c r="F112" s="109">
        <v>1.5641507499093799E-4</v>
      </c>
      <c r="G112" s="109">
        <v>4.0850369488821501E-4</v>
      </c>
      <c r="H112" s="109">
        <v>1.1382011451649401E-3</v>
      </c>
      <c r="I112" s="109">
        <v>1.5406655231164001E-4</v>
      </c>
      <c r="J112" s="109">
        <v>5.8530342601827798E-3</v>
      </c>
      <c r="K112" s="109">
        <v>3.9267676366510203E-4</v>
      </c>
      <c r="L112" s="109">
        <v>1.2164482282835799E-3</v>
      </c>
      <c r="M112" s="109">
        <v>1.2164482282835799E-3</v>
      </c>
      <c r="N112" s="108">
        <v>5.1644672274808897E-4</v>
      </c>
      <c r="O112" s="108">
        <v>2.0512897974398099E-3</v>
      </c>
      <c r="P112" s="108">
        <v>1.1726184229303601E-3</v>
      </c>
      <c r="Q112" s="108">
        <v>8.37929630545983E-4</v>
      </c>
      <c r="R112" s="108">
        <v>2.1423468404150399E-3</v>
      </c>
      <c r="S112" s="108">
        <v>1.35548574048265E-3</v>
      </c>
      <c r="T112" s="108">
        <v>8.7747394852097701E-3</v>
      </c>
      <c r="U112" s="108">
        <v>2.1130277776128002E-2</v>
      </c>
      <c r="V112" s="108">
        <v>1.7750185726111398E-2</v>
      </c>
    </row>
    <row r="113" spans="1:22" ht="15.6">
      <c r="A113" s="110" t="s">
        <v>618</v>
      </c>
      <c r="B113" s="110" t="s">
        <v>619</v>
      </c>
      <c r="C113" s="110" t="s">
        <v>116</v>
      </c>
      <c r="D113" s="110" t="s">
        <v>322</v>
      </c>
      <c r="E113" s="109">
        <v>584.66999999999996</v>
      </c>
      <c r="F113" s="109">
        <v>2.47815474055628E-4</v>
      </c>
      <c r="G113" s="109">
        <v>7.7230093386763303E-4</v>
      </c>
      <c r="H113" s="109">
        <v>2.0416723569144399E-3</v>
      </c>
      <c r="I113" s="109">
        <v>3.4306816350695003E-4</v>
      </c>
      <c r="J113" s="109">
        <v>2.9771334651940403E-3</v>
      </c>
      <c r="K113" s="109">
        <v>7.6880801874396499E-4</v>
      </c>
      <c r="L113" s="109">
        <v>1.13775189089581E-3</v>
      </c>
      <c r="M113" s="109">
        <v>1.13775189089581E-3</v>
      </c>
      <c r="N113" s="108">
        <v>1.0507874713050699E-3</v>
      </c>
      <c r="O113" s="108">
        <v>3.9551318639883398E-3</v>
      </c>
      <c r="P113" s="108">
        <v>2.6697260964613501E-3</v>
      </c>
      <c r="Q113" s="108">
        <v>1.07764248667831E-3</v>
      </c>
      <c r="R113" s="108">
        <v>7.6302238752388302E-4</v>
      </c>
      <c r="S113" s="108">
        <v>2.5951647957120202E-3</v>
      </c>
      <c r="T113" s="108">
        <v>5.99374555246617E-3</v>
      </c>
      <c r="U113" s="108">
        <v>2.2923677241349499E-2</v>
      </c>
      <c r="V113" s="108">
        <v>1.67818837222929E-2</v>
      </c>
    </row>
    <row r="114" spans="1:22" ht="15.6">
      <c r="A114" s="110" t="s">
        <v>704</v>
      </c>
      <c r="B114" s="110" t="s">
        <v>705</v>
      </c>
      <c r="C114" s="110" t="s">
        <v>115</v>
      </c>
      <c r="D114" s="110" t="s">
        <v>121</v>
      </c>
      <c r="E114" s="109">
        <v>0</v>
      </c>
      <c r="F114" s="109" t="s">
        <v>1550</v>
      </c>
      <c r="G114" s="109" t="s">
        <v>1550</v>
      </c>
      <c r="H114" s="109" t="s">
        <v>1550</v>
      </c>
      <c r="I114" s="109" t="s">
        <v>1550</v>
      </c>
      <c r="J114" s="109" t="s">
        <v>1550</v>
      </c>
      <c r="K114" s="109" t="s">
        <v>1550</v>
      </c>
      <c r="L114" s="109" t="s">
        <v>1550</v>
      </c>
      <c r="M114" s="109">
        <v>1.7440177336787376E-3</v>
      </c>
      <c r="N114" s="111">
        <v>0</v>
      </c>
      <c r="O114" s="111">
        <v>0</v>
      </c>
      <c r="P114" s="111">
        <v>0</v>
      </c>
      <c r="Q114" s="111">
        <v>0</v>
      </c>
      <c r="R114" s="111">
        <v>0</v>
      </c>
      <c r="S114" s="111">
        <v>0</v>
      </c>
      <c r="T114" s="111">
        <v>0</v>
      </c>
      <c r="U114" s="111">
        <v>0</v>
      </c>
      <c r="V114" s="111" t="s">
        <v>1550</v>
      </c>
    </row>
    <row r="115" spans="1:22" ht="15.6">
      <c r="A115" s="110" t="s">
        <v>614</v>
      </c>
      <c r="B115" s="110" t="s">
        <v>615</v>
      </c>
      <c r="C115" s="110" t="s">
        <v>118</v>
      </c>
      <c r="D115" s="110" t="s">
        <v>325</v>
      </c>
      <c r="E115" s="109">
        <v>166.18</v>
      </c>
      <c r="F115" s="109">
        <v>1.6436408910019E-4</v>
      </c>
      <c r="G115" s="109">
        <v>7.6262153758116101E-4</v>
      </c>
      <c r="H115" s="109">
        <v>1.51867743037016E-3</v>
      </c>
      <c r="I115" s="109">
        <v>2.5064656597394201E-4</v>
      </c>
      <c r="J115" s="109">
        <v>4.2281174718251397E-3</v>
      </c>
      <c r="K115" s="109">
        <v>8.897632582575331E-4</v>
      </c>
      <c r="L115" s="109">
        <v>1.6465112839744798E-3</v>
      </c>
      <c r="M115" s="109">
        <v>1.6465112839744798E-3</v>
      </c>
      <c r="N115" s="108">
        <v>5.1528815504077604E-4</v>
      </c>
      <c r="O115" s="108">
        <v>4.9776688816087196E-4</v>
      </c>
      <c r="P115" s="108">
        <v>6.4060559578930001E-3</v>
      </c>
      <c r="Q115" s="108">
        <v>9.5820676726374599E-4</v>
      </c>
      <c r="R115" s="108">
        <v>1.1184030605639001E-3</v>
      </c>
      <c r="S115" s="108">
        <v>2.5037373430662397E-3</v>
      </c>
      <c r="T115" s="108">
        <v>4.7932771623907001E-3</v>
      </c>
      <c r="U115" s="108">
        <v>2.3038084226884799E-2</v>
      </c>
      <c r="V115" s="108">
        <v>1.4312896158907799E-2</v>
      </c>
    </row>
    <row r="116" spans="1:22" ht="15.6">
      <c r="A116" s="110" t="s">
        <v>498</v>
      </c>
      <c r="B116" s="110" t="s">
        <v>499</v>
      </c>
      <c r="C116" s="110" t="s">
        <v>119</v>
      </c>
      <c r="D116" s="110" t="s">
        <v>325</v>
      </c>
      <c r="E116" s="109">
        <v>114.71</v>
      </c>
      <c r="F116" s="109">
        <v>1.1569420729582201E-2</v>
      </c>
      <c r="G116" s="109">
        <v>2.1672783198633503E-2</v>
      </c>
      <c r="H116" s="109">
        <v>2.9550587034855198E-2</v>
      </c>
      <c r="I116" s="109">
        <v>1.0331824310967299E-2</v>
      </c>
      <c r="J116" s="109">
        <v>8.6854494422386203E-3</v>
      </c>
      <c r="K116" s="109">
        <v>1.4631142141173601E-3</v>
      </c>
      <c r="L116" s="109">
        <v>2.1465430094678001E-3</v>
      </c>
      <c r="M116" s="109">
        <v>2.1465430094678001E-3</v>
      </c>
      <c r="N116" s="108">
        <v>8.7623607619737498E-4</v>
      </c>
      <c r="O116" s="108">
        <v>2.7898237403621799E-3</v>
      </c>
      <c r="P116" s="108">
        <v>2.6619374986905503E-3</v>
      </c>
      <c r="Q116" s="108">
        <v>7.3528535764361906E-4</v>
      </c>
      <c r="R116" s="108">
        <v>7.0959714313375004E-4</v>
      </c>
      <c r="S116" s="108">
        <v>3.5679887129574199E-3</v>
      </c>
      <c r="T116" s="108">
        <v>2.7508744731096603E-3</v>
      </c>
      <c r="U116" s="108">
        <v>2.1383634187639899E-2</v>
      </c>
      <c r="V116" s="108">
        <v>3.4757011154064897E-2</v>
      </c>
    </row>
    <row r="117" spans="1:22" ht="15.6">
      <c r="A117" s="110" t="s">
        <v>502</v>
      </c>
      <c r="B117" s="110" t="s">
        <v>503</v>
      </c>
      <c r="C117" s="110" t="s">
        <v>115</v>
      </c>
      <c r="D117" s="110" t="s">
        <v>121</v>
      </c>
      <c r="E117" s="109">
        <v>1858.59</v>
      </c>
      <c r="F117" s="109">
        <v>5.6908107962244306E-5</v>
      </c>
      <c r="G117" s="109">
        <v>3.7338242831713801E-4</v>
      </c>
      <c r="H117" s="109">
        <v>6.46144768820391E-4</v>
      </c>
      <c r="I117" s="109">
        <v>8.5689167889408009E-5</v>
      </c>
      <c r="J117" s="109">
        <v>4.41182497504552E-3</v>
      </c>
      <c r="K117" s="109">
        <v>5.8038010966522799E-4</v>
      </c>
      <c r="L117" s="109">
        <v>1.8020329971198299E-3</v>
      </c>
      <c r="M117" s="109">
        <v>1.8020329971198299E-3</v>
      </c>
      <c r="N117" s="108">
        <v>7.7537412707243403E-3</v>
      </c>
      <c r="O117" s="108">
        <v>7.81888421855618E-3</v>
      </c>
      <c r="P117" s="108">
        <v>5.6364291106519001E-3</v>
      </c>
      <c r="Q117" s="108">
        <v>1.3873244086654401E-3</v>
      </c>
      <c r="R117" s="108">
        <v>5.6921602498531693E-3</v>
      </c>
      <c r="S117" s="108">
        <v>2.9838768930131299E-3</v>
      </c>
      <c r="T117" s="108">
        <v>1.4940478250398001E-2</v>
      </c>
      <c r="U117" s="108">
        <v>5.5260333500424204E-2</v>
      </c>
      <c r="V117" s="108">
        <v>4.5907644801523304E-2</v>
      </c>
    </row>
    <row r="118" spans="1:22" ht="15.6">
      <c r="A118" s="110" t="s">
        <v>504</v>
      </c>
      <c r="B118" s="110" t="s">
        <v>505</v>
      </c>
      <c r="C118" s="110" t="s">
        <v>115</v>
      </c>
      <c r="D118" s="110" t="s">
        <v>121</v>
      </c>
      <c r="E118" s="109">
        <v>7635.7</v>
      </c>
      <c r="F118" s="109">
        <v>1.8251489786917097E-5</v>
      </c>
      <c r="G118" s="109">
        <v>1.4698928109342899E-5</v>
      </c>
      <c r="H118" s="109">
        <v>3.0218480851500102E-5</v>
      </c>
      <c r="I118" s="109">
        <v>2.59333596722736E-5</v>
      </c>
      <c r="J118" s="109">
        <v>2.26079151015472E-3</v>
      </c>
      <c r="K118" s="109">
        <v>5.41230934373168E-4</v>
      </c>
      <c r="L118" s="109">
        <v>1.4659859860167699E-3</v>
      </c>
      <c r="M118" s="109">
        <v>1.4659859860167699E-3</v>
      </c>
      <c r="N118" s="108">
        <v>2.7180143742973097E-3</v>
      </c>
      <c r="O118" s="108">
        <v>4.0393950126269302E-3</v>
      </c>
      <c r="P118" s="108">
        <v>1.62249734359543E-3</v>
      </c>
      <c r="Q118" s="108">
        <v>8.9403146885715101E-4</v>
      </c>
      <c r="R118" s="108">
        <v>8.9780394423914995E-4</v>
      </c>
      <c r="S118" s="108">
        <v>8.1440628632753801E-4</v>
      </c>
      <c r="T118" s="108">
        <v>3.6700860114903099E-3</v>
      </c>
      <c r="U118" s="108">
        <v>1.7127612955481399E-2</v>
      </c>
      <c r="V118" s="108">
        <v>2.84822555142661E-2</v>
      </c>
    </row>
    <row r="119" spans="1:22" ht="15.6">
      <c r="A119" s="110" t="s">
        <v>494</v>
      </c>
      <c r="B119" s="110" t="s">
        <v>495</v>
      </c>
      <c r="C119" s="110" t="s">
        <v>115</v>
      </c>
      <c r="D119" s="110" t="s">
        <v>121</v>
      </c>
      <c r="E119" s="109">
        <v>1897.95</v>
      </c>
      <c r="F119" s="109">
        <v>5.3831419219566999E-5</v>
      </c>
      <c r="G119" s="109">
        <v>3.27828922897333E-4</v>
      </c>
      <c r="H119" s="109">
        <v>6.1241237745833402E-4</v>
      </c>
      <c r="I119" s="109">
        <v>8.5508265656534892E-5</v>
      </c>
      <c r="J119" s="109">
        <v>5.4776752678469594E-3</v>
      </c>
      <c r="K119" s="109">
        <v>4.3051754793368302E-4</v>
      </c>
      <c r="L119" s="109">
        <v>2.0334273561457899E-3</v>
      </c>
      <c r="M119" s="109">
        <v>2.0334273561457899E-3</v>
      </c>
      <c r="N119" s="108">
        <v>7.8075786039321698E-3</v>
      </c>
      <c r="O119" s="108">
        <v>6.8994809706463605E-3</v>
      </c>
      <c r="P119" s="108">
        <v>6.2574208404649698E-3</v>
      </c>
      <c r="Q119" s="108">
        <v>1.3725639976275501E-3</v>
      </c>
      <c r="R119" s="108">
        <v>7.7524672831679299E-3</v>
      </c>
      <c r="S119" s="108">
        <v>3.1087889036932699E-3</v>
      </c>
      <c r="T119" s="108">
        <v>1.5829428221088498E-2</v>
      </c>
      <c r="U119" s="108">
        <v>5.8496763732571601E-2</v>
      </c>
      <c r="V119" s="108">
        <v>5.0513703089878001E-2</v>
      </c>
    </row>
    <row r="120" spans="1:22" ht="15.6">
      <c r="A120" s="110" t="s">
        <v>506</v>
      </c>
      <c r="B120" s="110" t="s">
        <v>507</v>
      </c>
      <c r="C120" s="110" t="s">
        <v>114</v>
      </c>
      <c r="D120" s="110" t="s">
        <v>121</v>
      </c>
      <c r="E120" s="109">
        <v>0</v>
      </c>
      <c r="F120" s="109" t="s">
        <v>1550</v>
      </c>
      <c r="G120" s="109" t="s">
        <v>1550</v>
      </c>
      <c r="H120" s="109" t="s">
        <v>1550</v>
      </c>
      <c r="I120" s="109" t="s">
        <v>1550</v>
      </c>
      <c r="J120" s="109" t="s">
        <v>1550</v>
      </c>
      <c r="K120" s="109" t="s">
        <v>1550</v>
      </c>
      <c r="L120" s="109" t="s">
        <v>1550</v>
      </c>
      <c r="M120" s="109">
        <v>2.0490260580171564E-3</v>
      </c>
      <c r="N120" s="111">
        <v>0</v>
      </c>
      <c r="O120" s="111">
        <v>0</v>
      </c>
      <c r="P120" s="111">
        <v>0</v>
      </c>
      <c r="Q120" s="111">
        <v>0</v>
      </c>
      <c r="R120" s="111">
        <v>0</v>
      </c>
      <c r="S120" s="111">
        <v>0</v>
      </c>
      <c r="T120" s="111">
        <v>0</v>
      </c>
      <c r="U120" s="111">
        <v>0</v>
      </c>
      <c r="V120" s="111" t="s">
        <v>1550</v>
      </c>
    </row>
    <row r="121" spans="1:22" ht="15.6">
      <c r="A121" s="110" t="s">
        <v>756</v>
      </c>
      <c r="B121" s="110" t="s">
        <v>757</v>
      </c>
      <c r="C121" s="110" t="s">
        <v>116</v>
      </c>
      <c r="D121" s="110" t="s">
        <v>121</v>
      </c>
      <c r="E121" s="109">
        <v>0</v>
      </c>
      <c r="F121" s="109" t="s">
        <v>1550</v>
      </c>
      <c r="G121" s="109" t="s">
        <v>1550</v>
      </c>
      <c r="H121" s="109" t="s">
        <v>1550</v>
      </c>
      <c r="I121" s="109" t="s">
        <v>1550</v>
      </c>
      <c r="J121" s="109" t="s">
        <v>1550</v>
      </c>
      <c r="K121" s="109" t="s">
        <v>1550</v>
      </c>
      <c r="L121" s="109" t="s">
        <v>1550</v>
      </c>
      <c r="M121" s="109">
        <v>1.5445864557301757E-3</v>
      </c>
      <c r="N121" s="111">
        <v>0</v>
      </c>
      <c r="O121" s="111">
        <v>0</v>
      </c>
      <c r="P121" s="111">
        <v>0</v>
      </c>
      <c r="Q121" s="111">
        <v>0</v>
      </c>
      <c r="R121" s="111">
        <v>0</v>
      </c>
      <c r="S121" s="111">
        <v>0</v>
      </c>
      <c r="T121" s="111">
        <v>0</v>
      </c>
      <c r="U121" s="111">
        <v>0</v>
      </c>
      <c r="V121" s="111" t="s">
        <v>1550</v>
      </c>
    </row>
    <row r="122" spans="1:22" ht="15.6">
      <c r="A122" s="110" t="s">
        <v>536</v>
      </c>
      <c r="B122" s="110" t="s">
        <v>537</v>
      </c>
      <c r="C122" s="110" t="s">
        <v>117</v>
      </c>
      <c r="D122" s="110" t="s">
        <v>325</v>
      </c>
      <c r="E122" s="109">
        <v>221.11</v>
      </c>
      <c r="F122" s="109">
        <v>4.9188810439054504E-4</v>
      </c>
      <c r="G122" s="109">
        <v>9.0838586358944599E-4</v>
      </c>
      <c r="H122" s="109">
        <v>2.8996041057772499E-3</v>
      </c>
      <c r="I122" s="109">
        <v>4.2987615371463595E-4</v>
      </c>
      <c r="J122" s="109">
        <v>5.4315652021054098E-3</v>
      </c>
      <c r="K122" s="109">
        <v>5.4180426600194303E-4</v>
      </c>
      <c r="L122" s="109">
        <v>2.9726881546106605E-3</v>
      </c>
      <c r="M122" s="109">
        <v>2.9726881546106605E-3</v>
      </c>
      <c r="N122" s="108">
        <v>5.8769514985738199E-4</v>
      </c>
      <c r="O122" s="108">
        <v>2.8944670008049099E-3</v>
      </c>
      <c r="P122" s="108">
        <v>1.73371289344343E-3</v>
      </c>
      <c r="Q122" s="108">
        <v>6.9510413277349401E-4</v>
      </c>
      <c r="R122" s="108">
        <v>3.2171642761900897E-3</v>
      </c>
      <c r="S122" s="108">
        <v>1.1586224849030199E-3</v>
      </c>
      <c r="T122" s="108">
        <v>1.3247492611367E-2</v>
      </c>
      <c r="U122" s="108">
        <v>2.6516083410968398E-2</v>
      </c>
      <c r="V122" s="108">
        <v>1.7721497823290199E-2</v>
      </c>
    </row>
    <row r="123" spans="1:22" ht="15.6">
      <c r="A123" s="110" t="s">
        <v>706</v>
      </c>
      <c r="B123" s="110" t="s">
        <v>707</v>
      </c>
      <c r="C123" s="110" t="s">
        <v>115</v>
      </c>
      <c r="D123" s="110" t="s">
        <v>121</v>
      </c>
      <c r="E123" s="109">
        <v>8634.26</v>
      </c>
      <c r="F123" s="109">
        <v>1.0742464763302699E-5</v>
      </c>
      <c r="G123" s="109">
        <v>7.5985669623014995E-6</v>
      </c>
      <c r="H123" s="109">
        <v>1.4715883437459601E-5</v>
      </c>
      <c r="I123" s="109">
        <v>6.9590889987096799E-5</v>
      </c>
      <c r="J123" s="109">
        <v>4.1219187793527902E-3</v>
      </c>
      <c r="K123" s="109">
        <v>8.9390977954935803E-4</v>
      </c>
      <c r="L123" s="109">
        <v>1.03715768522762E-3</v>
      </c>
      <c r="M123" s="109">
        <v>1.03715768522762E-3</v>
      </c>
      <c r="N123" s="108">
        <v>3.6315790921016703E-3</v>
      </c>
      <c r="O123" s="108">
        <v>7.3261844395629896E-3</v>
      </c>
      <c r="P123" s="108">
        <v>2.7094815180052599E-3</v>
      </c>
      <c r="Q123" s="108">
        <v>2.3845395709122799E-3</v>
      </c>
      <c r="R123" s="108">
        <v>1.7944671241685401E-3</v>
      </c>
      <c r="S123" s="108">
        <v>2.0179174648408502E-4</v>
      </c>
      <c r="T123" s="108">
        <v>7.5387332005040194E-3</v>
      </c>
      <c r="U123" s="108">
        <v>2.53026422107679E-2</v>
      </c>
      <c r="V123" s="108">
        <v>5.82502299666465E-2</v>
      </c>
    </row>
    <row r="124" spans="1:22" ht="15.6">
      <c r="A124" s="110" t="s">
        <v>530</v>
      </c>
      <c r="B124" s="110" t="s">
        <v>531</v>
      </c>
      <c r="C124" s="110" t="s">
        <v>115</v>
      </c>
      <c r="D124" s="110" t="s">
        <v>322</v>
      </c>
      <c r="E124" s="109">
        <v>410.12</v>
      </c>
      <c r="F124" s="109">
        <v>1.17027825438266E-4</v>
      </c>
      <c r="G124" s="109">
        <v>8.45261780913228E-4</v>
      </c>
      <c r="H124" s="109">
        <v>1.0268596781444399E-3</v>
      </c>
      <c r="I124" s="109">
        <v>3.7604158657747802E-4</v>
      </c>
      <c r="J124" s="109">
        <v>5.3101351946955198E-3</v>
      </c>
      <c r="K124" s="109">
        <v>5.13993913753378E-4</v>
      </c>
      <c r="L124" s="109">
        <v>1.8229191839127799E-3</v>
      </c>
      <c r="M124" s="109">
        <v>1.8229191839127799E-3</v>
      </c>
      <c r="N124" s="108">
        <v>4.4865005254704606E-3</v>
      </c>
      <c r="O124" s="108">
        <v>4.2863456948113599E-3</v>
      </c>
      <c r="P124" s="108">
        <v>4.4113239108026893E-3</v>
      </c>
      <c r="Q124" s="108">
        <v>1.7074648997271701E-3</v>
      </c>
      <c r="R124" s="108">
        <v>4.4836537778366803E-3</v>
      </c>
      <c r="S124" s="108">
        <v>3.9438399826712701E-3</v>
      </c>
      <c r="T124" s="108">
        <v>1.3550100078127601E-2</v>
      </c>
      <c r="U124" s="108">
        <v>5.1269350495026803E-2</v>
      </c>
      <c r="V124" s="108">
        <v>4.6230228111291197E-2</v>
      </c>
    </row>
    <row r="125" spans="1:22" ht="15.6">
      <c r="A125" s="110" t="s">
        <v>510</v>
      </c>
      <c r="B125" s="110" t="s">
        <v>511</v>
      </c>
      <c r="C125" s="110" t="s">
        <v>119</v>
      </c>
      <c r="D125" s="110" t="s">
        <v>319</v>
      </c>
      <c r="E125" s="109">
        <v>17.64</v>
      </c>
      <c r="F125" s="109">
        <v>1.6399508193617199E-2</v>
      </c>
      <c r="G125" s="109">
        <v>3.3478492455937696E-2</v>
      </c>
      <c r="H125" s="109">
        <v>4.3319888081414203E-2</v>
      </c>
      <c r="I125" s="109">
        <v>6.5650394016980203E-3</v>
      </c>
      <c r="J125" s="109">
        <v>2.3936653021342301E-3</v>
      </c>
      <c r="K125" s="109">
        <v>9.1771197432357992E-4</v>
      </c>
      <c r="L125" s="109">
        <v>4.5311036818479001E-3</v>
      </c>
      <c r="M125" s="109">
        <v>4.5311036818479001E-3</v>
      </c>
      <c r="N125" s="108">
        <v>3.4276402374349097E-4</v>
      </c>
      <c r="O125" s="108">
        <v>1.3396546101154499E-3</v>
      </c>
      <c r="P125" s="108">
        <v>3.5067219441480002E-3</v>
      </c>
      <c r="Q125" s="108">
        <v>2.6294930916223E-4</v>
      </c>
      <c r="R125" s="108">
        <v>5.6083826231607297E-4</v>
      </c>
      <c r="S125" s="108">
        <v>3.0729256435973098E-3</v>
      </c>
      <c r="T125" s="108">
        <v>2.04821633704306E-3</v>
      </c>
      <c r="U125" s="108">
        <v>1.5382157692523102E-2</v>
      </c>
      <c r="V125" s="108">
        <v>7.2753290427106107E-3</v>
      </c>
    </row>
    <row r="126" spans="1:22" ht="15.6">
      <c r="A126" s="110" t="s">
        <v>516</v>
      </c>
      <c r="B126" s="110" t="s">
        <v>517</v>
      </c>
      <c r="C126" s="110" t="s">
        <v>118</v>
      </c>
      <c r="D126" s="110" t="s">
        <v>322</v>
      </c>
      <c r="E126" s="109">
        <v>1038.67</v>
      </c>
      <c r="F126" s="109">
        <v>2.2341167549813298E-4</v>
      </c>
      <c r="G126" s="109">
        <v>5.0630411070330997E-4</v>
      </c>
      <c r="H126" s="109">
        <v>1.4541466935551301E-3</v>
      </c>
      <c r="I126" s="109">
        <v>1.6027024505065298E-4</v>
      </c>
      <c r="J126" s="109">
        <v>2.8820839552248499E-3</v>
      </c>
      <c r="K126" s="109">
        <v>6.2779411988772094E-4</v>
      </c>
      <c r="L126" s="109">
        <v>4.2928864992757901E-3</v>
      </c>
      <c r="M126" s="109">
        <v>4.2928864992757901E-3</v>
      </c>
      <c r="N126" s="108">
        <v>1.67701983433519E-4</v>
      </c>
      <c r="O126" s="108">
        <v>4.5826495225883499E-4</v>
      </c>
      <c r="P126" s="108">
        <v>3.1737864023500904E-3</v>
      </c>
      <c r="Q126" s="108">
        <v>5.5093044285486198E-4</v>
      </c>
      <c r="R126" s="108">
        <v>6.9766085423576601E-4</v>
      </c>
      <c r="S126" s="108">
        <v>1.1284569004346601E-3</v>
      </c>
      <c r="T126" s="108">
        <v>3.4240897101719399E-3</v>
      </c>
      <c r="U126" s="108">
        <v>1.2760243820159702E-2</v>
      </c>
      <c r="V126" s="108">
        <v>1.24073299883423E-2</v>
      </c>
    </row>
    <row r="127" spans="1:22" ht="15.6">
      <c r="A127" s="110" t="s">
        <v>526</v>
      </c>
      <c r="B127" s="110" t="s">
        <v>527</v>
      </c>
      <c r="C127" s="110" t="s">
        <v>116</v>
      </c>
      <c r="D127" s="110" t="s">
        <v>322</v>
      </c>
      <c r="E127" s="109">
        <v>610.65</v>
      </c>
      <c r="F127" s="109">
        <v>1.8342076841322398E-4</v>
      </c>
      <c r="G127" s="109">
        <v>4.3080830793484405E-4</v>
      </c>
      <c r="H127" s="109">
        <v>1.0787273772446299E-3</v>
      </c>
      <c r="I127" s="109">
        <v>2.7879439501982801E-4</v>
      </c>
      <c r="J127" s="109">
        <v>2.7501001472259997E-3</v>
      </c>
      <c r="K127" s="109">
        <v>7.0445587183081402E-4</v>
      </c>
      <c r="L127" s="109">
        <v>2.41985281163167E-3</v>
      </c>
      <c r="M127" s="109">
        <v>2.41985281163167E-3</v>
      </c>
      <c r="N127" s="108">
        <v>1.2364369793226701E-3</v>
      </c>
      <c r="O127" s="108">
        <v>3.5572245891706098E-3</v>
      </c>
      <c r="P127" s="108">
        <v>2.3300641582676201E-3</v>
      </c>
      <c r="Q127" s="108">
        <v>2.1339372011533997E-3</v>
      </c>
      <c r="R127" s="108">
        <v>1.7077601352813202E-3</v>
      </c>
      <c r="S127" s="108">
        <v>1.3432229340490901E-3</v>
      </c>
      <c r="T127" s="108">
        <v>3.1771831340971302E-3</v>
      </c>
      <c r="U127" s="108">
        <v>1.70246737798295E-2</v>
      </c>
      <c r="V127" s="108">
        <v>9.747259982960799E-3</v>
      </c>
    </row>
    <row r="128" spans="1:22" ht="15.6">
      <c r="A128" s="110" t="s">
        <v>758</v>
      </c>
      <c r="B128" s="110" t="s">
        <v>759</v>
      </c>
      <c r="C128" s="110" t="s">
        <v>114</v>
      </c>
      <c r="D128" s="110" t="s">
        <v>322</v>
      </c>
      <c r="E128" s="109">
        <v>766.94</v>
      </c>
      <c r="F128" s="109">
        <v>3.9288204930100501E-4</v>
      </c>
      <c r="G128" s="109">
        <v>2.0345937103866799E-3</v>
      </c>
      <c r="H128" s="109">
        <v>4.1511911865050599E-3</v>
      </c>
      <c r="I128" s="109">
        <v>7.3368069353677197E-4</v>
      </c>
      <c r="J128" s="109">
        <v>1.12572657876323E-2</v>
      </c>
      <c r="K128" s="109">
        <v>6.805140079217659E-4</v>
      </c>
      <c r="L128" s="109">
        <v>1.8703170281376298E-3</v>
      </c>
      <c r="M128" s="109">
        <v>1.8703170281376298E-3</v>
      </c>
      <c r="N128" s="108">
        <v>1.1046934657622999E-3</v>
      </c>
      <c r="O128" s="108">
        <v>6.0125405897363997E-3</v>
      </c>
      <c r="P128" s="108">
        <v>6.3951565481947708E-3</v>
      </c>
      <c r="Q128" s="108">
        <v>1.3840881929786499E-3</v>
      </c>
      <c r="R128" s="108">
        <v>2.6564584033225403E-3</v>
      </c>
      <c r="S128" s="108">
        <v>7.8073386336558999E-3</v>
      </c>
      <c r="T128" s="108">
        <v>1.2273365456952299E-2</v>
      </c>
      <c r="U128" s="108">
        <v>4.5601101716094397E-2</v>
      </c>
      <c r="V128" s="108">
        <v>3.3259200573673105E-2</v>
      </c>
    </row>
    <row r="129" spans="1:22" ht="15.6">
      <c r="A129" s="110" t="s">
        <v>760</v>
      </c>
      <c r="B129" s="110" t="s">
        <v>509</v>
      </c>
      <c r="C129" s="110" t="s">
        <v>115</v>
      </c>
      <c r="D129" s="110" t="s">
        <v>322</v>
      </c>
      <c r="E129" s="109">
        <v>560.30999999999995</v>
      </c>
      <c r="F129" s="109">
        <v>2.85474672117145E-5</v>
      </c>
      <c r="G129" s="109">
        <v>2.18674077489555E-4</v>
      </c>
      <c r="H129" s="109">
        <v>5.4761931679098597E-4</v>
      </c>
      <c r="I129" s="109">
        <v>2.0620782474940001E-5</v>
      </c>
      <c r="J129" s="109">
        <v>1.00994378556664E-2</v>
      </c>
      <c r="K129" s="109">
        <v>5.1488033009662604E-4</v>
      </c>
      <c r="L129" s="109">
        <v>2.33031452148436E-3</v>
      </c>
      <c r="M129" s="109">
        <v>2.33031452148436E-3</v>
      </c>
      <c r="N129" s="108">
        <v>3.9216750725508598E-3</v>
      </c>
      <c r="O129" s="108">
        <v>5.5067852334413792E-3</v>
      </c>
      <c r="P129" s="108">
        <v>2.2390608001565903E-2</v>
      </c>
      <c r="Q129" s="108">
        <v>1.6936673418764599E-3</v>
      </c>
      <c r="R129" s="108">
        <v>2.5711556961840899E-3</v>
      </c>
      <c r="S129" s="108">
        <v>3.7241651430747902E-4</v>
      </c>
      <c r="T129" s="108">
        <v>1.3756696399247301E-2</v>
      </c>
      <c r="U129" s="108">
        <v>5.4309141255125599E-2</v>
      </c>
      <c r="V129" s="108">
        <v>6.6832947895625106E-2</v>
      </c>
    </row>
    <row r="130" spans="1:22" ht="15.6">
      <c r="A130" s="110" t="s">
        <v>518</v>
      </c>
      <c r="B130" s="110" t="s">
        <v>519</v>
      </c>
      <c r="C130" s="110" t="s">
        <v>119</v>
      </c>
      <c r="D130" s="110" t="s">
        <v>319</v>
      </c>
      <c r="E130" s="109">
        <v>40.119999999999997</v>
      </c>
      <c r="F130" s="109">
        <v>1.27930636366273E-2</v>
      </c>
      <c r="G130" s="109">
        <v>2.5561099929534998E-2</v>
      </c>
      <c r="H130" s="109">
        <v>3.44413467791874E-2</v>
      </c>
      <c r="I130" s="109">
        <v>1.13244281092516E-2</v>
      </c>
      <c r="J130" s="109">
        <v>2.98335088136658E-3</v>
      </c>
      <c r="K130" s="109">
        <v>6.5219097371196401E-4</v>
      </c>
      <c r="L130" s="109">
        <v>2.9260972562260598E-3</v>
      </c>
      <c r="M130" s="109">
        <v>2.9260972562260598E-3</v>
      </c>
      <c r="N130" s="108">
        <v>5.02804307560052E-4</v>
      </c>
      <c r="O130" s="108">
        <v>1.2824062221625701E-3</v>
      </c>
      <c r="P130" s="108">
        <v>1.27932334128432E-3</v>
      </c>
      <c r="Q130" s="108">
        <v>2.40545742527298E-4</v>
      </c>
      <c r="R130" s="108">
        <v>3.5391778755861899E-4</v>
      </c>
      <c r="S130" s="108">
        <v>1.4093872904675498E-3</v>
      </c>
      <c r="T130" s="108">
        <v>1.62287656818176E-3</v>
      </c>
      <c r="U130" s="108">
        <v>8.4842369181677094E-3</v>
      </c>
      <c r="V130" s="108">
        <v>4.9533685258735301E-3</v>
      </c>
    </row>
    <row r="131" spans="1:22" ht="15.6">
      <c r="A131" s="110" t="s">
        <v>520</v>
      </c>
      <c r="B131" s="110" t="s">
        <v>521</v>
      </c>
      <c r="C131" s="110" t="s">
        <v>117</v>
      </c>
      <c r="D131" s="110" t="s">
        <v>121</v>
      </c>
      <c r="E131" s="109">
        <v>3641.62</v>
      </c>
      <c r="F131" s="109">
        <v>9.3553923538978294E-6</v>
      </c>
      <c r="G131" s="109">
        <v>1.6596540759219699E-5</v>
      </c>
      <c r="H131" s="109">
        <v>1.9192446811738299E-5</v>
      </c>
      <c r="I131" s="109">
        <v>5.3673586089008501E-5</v>
      </c>
      <c r="J131" s="109">
        <v>2.9798310300676199E-3</v>
      </c>
      <c r="K131" s="109">
        <v>6.2063648433420202E-4</v>
      </c>
      <c r="L131" s="109">
        <v>2.0120606992142E-3</v>
      </c>
      <c r="M131" s="109">
        <v>2.0120606992142E-3</v>
      </c>
      <c r="N131" s="108">
        <v>4.3547681237234301E-3</v>
      </c>
      <c r="O131" s="108">
        <v>4.0694618390503595E-3</v>
      </c>
      <c r="P131" s="108">
        <v>3.3715987387959302E-3</v>
      </c>
      <c r="Q131" s="108">
        <v>1.7590033840909501E-3</v>
      </c>
      <c r="R131" s="108">
        <v>1.8978003737207001E-3</v>
      </c>
      <c r="S131" s="108">
        <v>5.6390933138081105E-4</v>
      </c>
      <c r="T131" s="108">
        <v>9.5933485065800902E-3</v>
      </c>
      <c r="U131" s="108">
        <v>2.7792987151387501E-2</v>
      </c>
      <c r="V131" s="108">
        <v>3.2661419344565602E-2</v>
      </c>
    </row>
    <row r="132" spans="1:22" ht="15.6">
      <c r="A132" s="110" t="s">
        <v>540</v>
      </c>
      <c r="B132" s="110" t="s">
        <v>541</v>
      </c>
      <c r="C132" s="110" t="s">
        <v>114</v>
      </c>
      <c r="D132" s="110" t="s">
        <v>325</v>
      </c>
      <c r="E132" s="109">
        <v>65.23</v>
      </c>
      <c r="F132" s="109">
        <v>1.0304382189888299E-3</v>
      </c>
      <c r="G132" s="109">
        <v>3.04250751561902E-3</v>
      </c>
      <c r="H132" s="109">
        <v>5.0274548016663598E-3</v>
      </c>
      <c r="I132" s="109">
        <v>1.8861522117108501E-3</v>
      </c>
      <c r="J132" s="109">
        <v>6.1966370395350806E-3</v>
      </c>
      <c r="K132" s="109">
        <v>1.8470369332938298E-3</v>
      </c>
      <c r="L132" s="109">
        <v>1.7969104602135598E-3</v>
      </c>
      <c r="M132" s="109">
        <v>1.7969104602135598E-3</v>
      </c>
      <c r="N132" s="108">
        <v>3.2775980462297497E-4</v>
      </c>
      <c r="O132" s="108">
        <v>2.7305850628995898E-3</v>
      </c>
      <c r="P132" s="108">
        <v>7.9530948801037598E-3</v>
      </c>
      <c r="Q132" s="108">
        <v>6.37677378773325E-4</v>
      </c>
      <c r="R132" s="108">
        <v>8.6085257323106402E-4</v>
      </c>
      <c r="S132" s="108">
        <v>2.79507007623066E-3</v>
      </c>
      <c r="T132" s="108">
        <v>3.6454754234308399E-3</v>
      </c>
      <c r="U132" s="108">
        <v>2.7360236921183102E-2</v>
      </c>
      <c r="V132" s="108">
        <v>2.8325820655510602E-2</v>
      </c>
    </row>
    <row r="133" spans="1:22" ht="15.6">
      <c r="A133" s="110" t="s">
        <v>534</v>
      </c>
      <c r="B133" s="110" t="s">
        <v>535</v>
      </c>
      <c r="C133" s="110" t="s">
        <v>115</v>
      </c>
      <c r="D133" s="110" t="s">
        <v>322</v>
      </c>
      <c r="E133" s="109">
        <v>985.09</v>
      </c>
      <c r="F133" s="109">
        <v>2.3645118675486899E-5</v>
      </c>
      <c r="G133" s="109">
        <v>7.7357906782150992E-5</v>
      </c>
      <c r="H133" s="109">
        <v>6.2929436133320204E-4</v>
      </c>
      <c r="I133" s="109">
        <v>2.6944298123594602E-5</v>
      </c>
      <c r="J133" s="109">
        <v>9.1919103529955002E-3</v>
      </c>
      <c r="K133" s="109">
        <v>2.2322344133080801E-4</v>
      </c>
      <c r="L133" s="109">
        <v>1.6878023413523801E-3</v>
      </c>
      <c r="M133" s="109">
        <v>1.6878023413523801E-3</v>
      </c>
      <c r="N133" s="108">
        <v>4.3294746944127901E-3</v>
      </c>
      <c r="O133" s="108">
        <v>9.3425359967973208E-3</v>
      </c>
      <c r="P133" s="108">
        <v>2.0228883432457399E-2</v>
      </c>
      <c r="Q133" s="108">
        <v>1.07153049218364E-3</v>
      </c>
      <c r="R133" s="108">
        <v>2.7015587024561104E-3</v>
      </c>
      <c r="S133" s="108">
        <v>2.9851906886366598E-4</v>
      </c>
      <c r="T133" s="108">
        <v>1.0730476818730799E-2</v>
      </c>
      <c r="U133" s="108">
        <v>5.0660373945612201E-2</v>
      </c>
      <c r="V133" s="108">
        <v>7.4227130546263703E-2</v>
      </c>
    </row>
    <row r="134" spans="1:22" ht="15.6">
      <c r="A134" s="110" t="s">
        <v>532</v>
      </c>
      <c r="B134" s="110" t="s">
        <v>533</v>
      </c>
      <c r="C134" s="110" t="s">
        <v>114</v>
      </c>
      <c r="D134" s="110" t="s">
        <v>325</v>
      </c>
      <c r="E134" s="109">
        <v>315.58</v>
      </c>
      <c r="F134" s="109">
        <v>3.7704815003130595E-4</v>
      </c>
      <c r="G134" s="109">
        <v>1.6772575670029098E-3</v>
      </c>
      <c r="H134" s="109">
        <v>2.07827373457059E-3</v>
      </c>
      <c r="I134" s="109">
        <v>8.7520859983304504E-4</v>
      </c>
      <c r="J134" s="109">
        <v>5.6956758546402291E-3</v>
      </c>
      <c r="K134" s="109">
        <v>3.6036798154609999E-4</v>
      </c>
      <c r="L134" s="109">
        <v>1.6956339294626301E-3</v>
      </c>
      <c r="M134" s="109">
        <v>1.6956339294626301E-3</v>
      </c>
      <c r="N134" s="108">
        <v>1.58160558212745E-3</v>
      </c>
      <c r="O134" s="108">
        <v>1.38557527210277E-2</v>
      </c>
      <c r="P134" s="108">
        <v>6.7432823605325098E-3</v>
      </c>
      <c r="Q134" s="108">
        <v>7.9387128836779397E-4</v>
      </c>
      <c r="R134" s="108">
        <v>2.38744033500965E-3</v>
      </c>
      <c r="S134" s="108">
        <v>5.7794281431103505E-3</v>
      </c>
      <c r="T134" s="108">
        <v>1.0552664509806201E-2</v>
      </c>
      <c r="U134" s="108">
        <v>4.7696290071257197E-2</v>
      </c>
      <c r="V134" s="108">
        <v>3.4660640346940497E-2</v>
      </c>
    </row>
    <row r="135" spans="1:22" ht="15.6">
      <c r="A135" s="110" t="s">
        <v>761</v>
      </c>
      <c r="B135" s="110" t="s">
        <v>762</v>
      </c>
      <c r="C135" s="110" t="s">
        <v>114</v>
      </c>
      <c r="D135" s="110" t="s">
        <v>121</v>
      </c>
      <c r="E135" s="109">
        <v>0</v>
      </c>
      <c r="F135" s="109">
        <v>1.4626108650496301E-4</v>
      </c>
      <c r="G135" s="109">
        <v>3.8949312135795703E-4</v>
      </c>
      <c r="H135" s="109">
        <v>2.56567964881104E-3</v>
      </c>
      <c r="I135" s="109">
        <v>1.58116491197315E-4</v>
      </c>
      <c r="J135" s="109">
        <v>9.6820058415574995E-3</v>
      </c>
      <c r="K135" s="109">
        <v>9.45060116790051E-4</v>
      </c>
      <c r="L135" s="109">
        <v>1.3781769751550499E-3</v>
      </c>
      <c r="M135" s="109">
        <v>1.3781769751550499E-3</v>
      </c>
      <c r="N135" s="108">
        <v>1.20986591370942E-3</v>
      </c>
      <c r="O135" s="108">
        <v>6.9192997466718306E-3</v>
      </c>
      <c r="P135" s="108">
        <v>7.9302799245793698E-3</v>
      </c>
      <c r="Q135" s="108">
        <v>2.0493492945266802E-3</v>
      </c>
      <c r="R135" s="108">
        <v>2.2912339289560897E-3</v>
      </c>
      <c r="S135" s="108">
        <v>5.3466193912649097E-3</v>
      </c>
      <c r="T135" s="108">
        <v>1.09118798944161E-2</v>
      </c>
      <c r="U135" s="108">
        <v>4.0593830079857396E-2</v>
      </c>
      <c r="V135" s="108">
        <v>4.4494574060583297E-2</v>
      </c>
    </row>
    <row r="136" spans="1:22" ht="15.6">
      <c r="A136" s="110" t="s">
        <v>538</v>
      </c>
      <c r="B136" s="110" t="s">
        <v>539</v>
      </c>
      <c r="C136" s="110" t="s">
        <v>119</v>
      </c>
      <c r="D136" s="110" t="s">
        <v>319</v>
      </c>
      <c r="E136" s="109">
        <v>44.52</v>
      </c>
      <c r="F136" s="109">
        <v>6.6114557276124196E-3</v>
      </c>
      <c r="G136" s="109">
        <v>1.31973593258053E-2</v>
      </c>
      <c r="H136" s="109">
        <v>1.77012142530335E-2</v>
      </c>
      <c r="I136" s="109">
        <v>6.8100752589692693E-3</v>
      </c>
      <c r="J136" s="109">
        <v>2.0713892709824902E-3</v>
      </c>
      <c r="K136" s="109">
        <v>4.71329524816273E-4</v>
      </c>
      <c r="L136" s="109">
        <v>4.0484179260756202E-3</v>
      </c>
      <c r="M136" s="109">
        <v>4.0484179260756202E-3</v>
      </c>
      <c r="N136" s="108">
        <v>3.5024743410004599E-4</v>
      </c>
      <c r="O136" s="108">
        <v>6.0040929649779896E-4</v>
      </c>
      <c r="P136" s="108">
        <v>2.7107633123521499E-3</v>
      </c>
      <c r="Q136" s="108">
        <v>2.1374117691757701E-4</v>
      </c>
      <c r="R136" s="108">
        <v>3.77517282731639E-4</v>
      </c>
      <c r="S136" s="108">
        <v>2.1054015708371699E-3</v>
      </c>
      <c r="T136" s="108">
        <v>2.0134758237416801E-3</v>
      </c>
      <c r="U136" s="108">
        <v>1.13040955871801E-2</v>
      </c>
      <c r="V136" s="108">
        <v>8.9895640540126696E-3</v>
      </c>
    </row>
    <row r="137" spans="1:22" ht="15.6">
      <c r="A137" s="110" t="s">
        <v>522</v>
      </c>
      <c r="B137" s="110" t="s">
        <v>523</v>
      </c>
      <c r="C137" s="110" t="s">
        <v>119</v>
      </c>
      <c r="D137" s="110" t="s">
        <v>325</v>
      </c>
      <c r="E137" s="109">
        <v>89.29</v>
      </c>
      <c r="F137" s="109">
        <v>7.5351665784999296E-3</v>
      </c>
      <c r="G137" s="109">
        <v>1.5883984219044502E-2</v>
      </c>
      <c r="H137" s="109">
        <v>2.1812624299020901E-2</v>
      </c>
      <c r="I137" s="109">
        <v>3.5306410001134996E-3</v>
      </c>
      <c r="J137" s="109">
        <v>1.7968654504674701E-3</v>
      </c>
      <c r="K137" s="109">
        <v>3.1409063889228098E-4</v>
      </c>
      <c r="L137" s="109">
        <v>1.0135286327627399E-3</v>
      </c>
      <c r="M137" s="109">
        <v>1.0135286327627399E-3</v>
      </c>
      <c r="N137" s="108">
        <v>5.8876393641355104E-4</v>
      </c>
      <c r="O137" s="108">
        <v>1.3260728963136901E-3</v>
      </c>
      <c r="P137" s="108">
        <v>1.3873895254678701E-3</v>
      </c>
      <c r="Q137" s="108">
        <v>2.93358326615107E-4</v>
      </c>
      <c r="R137" s="108">
        <v>4.35336198378971E-4</v>
      </c>
      <c r="S137" s="108">
        <v>1.58033099493545E-3</v>
      </c>
      <c r="T137" s="108">
        <v>2.4261317886368301E-3</v>
      </c>
      <c r="U137" s="108">
        <v>1.0598993770613799E-2</v>
      </c>
      <c r="V137" s="108">
        <v>5.8929112947994893E-3</v>
      </c>
    </row>
    <row r="138" spans="1:22" ht="15.6">
      <c r="A138" s="110" t="s">
        <v>524</v>
      </c>
      <c r="B138" s="110" t="s">
        <v>525</v>
      </c>
      <c r="C138" s="110" t="s">
        <v>119</v>
      </c>
      <c r="D138" s="110" t="s">
        <v>322</v>
      </c>
      <c r="E138" s="109">
        <v>564.9</v>
      </c>
      <c r="F138" s="109">
        <v>3.2557767424937197E-5</v>
      </c>
      <c r="G138" s="109">
        <v>1.75987265105386E-4</v>
      </c>
      <c r="H138" s="109">
        <v>3.7176909406072295E-4</v>
      </c>
      <c r="I138" s="109">
        <v>5.1746756335438705E-5</v>
      </c>
      <c r="J138" s="109">
        <v>8.7041841616359097E-3</v>
      </c>
      <c r="K138" s="109">
        <v>8.9985545056421503E-4</v>
      </c>
      <c r="L138" s="109">
        <v>5.1630620237895996E-4</v>
      </c>
      <c r="M138" s="109">
        <v>5.1630620237895996E-4</v>
      </c>
      <c r="N138" s="108">
        <v>1.0326878920537501E-3</v>
      </c>
      <c r="O138" s="108">
        <v>3.52322811926945E-3</v>
      </c>
      <c r="P138" s="108">
        <v>9.8802620927751304E-3</v>
      </c>
      <c r="Q138" s="108">
        <v>1.9892998002915799E-3</v>
      </c>
      <c r="R138" s="108">
        <v>1.37778185809851E-3</v>
      </c>
      <c r="S138" s="108">
        <v>2.4729857747072502E-3</v>
      </c>
      <c r="T138" s="108">
        <v>8.197694454511191E-3</v>
      </c>
      <c r="U138" s="108">
        <v>3.7653522033050099E-2</v>
      </c>
      <c r="V138" s="108">
        <v>2.3889713878928201E-2</v>
      </c>
    </row>
    <row r="139" spans="1:22" ht="15.6">
      <c r="A139" s="110" t="s">
        <v>512</v>
      </c>
      <c r="B139" s="110" t="s">
        <v>513</v>
      </c>
      <c r="C139" s="110" t="s">
        <v>119</v>
      </c>
      <c r="D139" s="110" t="s">
        <v>319</v>
      </c>
      <c r="E139" s="109">
        <v>46.56</v>
      </c>
      <c r="F139" s="109">
        <v>8.1793731568387904E-3</v>
      </c>
      <c r="G139" s="109">
        <v>1.5812222965749398E-2</v>
      </c>
      <c r="H139" s="109">
        <v>2.1340524036995798E-2</v>
      </c>
      <c r="I139" s="109">
        <v>6.2819716232557698E-3</v>
      </c>
      <c r="J139" s="109">
        <v>1.7519013588541601E-3</v>
      </c>
      <c r="K139" s="109">
        <v>4.2872664740895201E-4</v>
      </c>
      <c r="L139" s="109">
        <v>4.2069767766331695E-3</v>
      </c>
      <c r="M139" s="109">
        <v>4.2069767766331695E-3</v>
      </c>
      <c r="N139" s="108">
        <v>3.2879994517198902E-4</v>
      </c>
      <c r="O139" s="108">
        <v>4.77054168963288E-4</v>
      </c>
      <c r="P139" s="108">
        <v>2.07490451088649E-3</v>
      </c>
      <c r="Q139" s="108">
        <v>1.9426856400324202E-4</v>
      </c>
      <c r="R139" s="108">
        <v>3.6923143965860101E-4</v>
      </c>
      <c r="S139" s="108">
        <v>1.7702404149248202E-3</v>
      </c>
      <c r="T139" s="108">
        <v>1.31672040199774E-3</v>
      </c>
      <c r="U139" s="108">
        <v>8.499323300084299E-3</v>
      </c>
      <c r="V139" s="108">
        <v>7.7911165695552596E-3</v>
      </c>
    </row>
    <row r="140" spans="1:22" ht="15.6">
      <c r="A140" s="110" t="s">
        <v>514</v>
      </c>
      <c r="B140" s="110" t="s">
        <v>515</v>
      </c>
      <c r="C140" s="110" t="s">
        <v>114</v>
      </c>
      <c r="D140" s="110" t="s">
        <v>322</v>
      </c>
      <c r="E140" s="109">
        <v>487.01</v>
      </c>
      <c r="F140" s="109">
        <v>6.9343684334869198E-5</v>
      </c>
      <c r="G140" s="109">
        <v>1.28592465841784E-4</v>
      </c>
      <c r="H140" s="109">
        <v>1.16521881139561E-3</v>
      </c>
      <c r="I140" s="109">
        <v>2.92821302298077E-4</v>
      </c>
      <c r="J140" s="109">
        <v>5.3049083095546993E-3</v>
      </c>
      <c r="K140" s="109">
        <v>8.6216177384696195E-4</v>
      </c>
      <c r="L140" s="109">
        <v>2.2910480113216202E-3</v>
      </c>
      <c r="M140" s="109">
        <v>2.2910480113216202E-3</v>
      </c>
      <c r="N140" s="108">
        <v>6.8754741351482497E-4</v>
      </c>
      <c r="O140" s="108">
        <v>1.72770374454012E-3</v>
      </c>
      <c r="P140" s="108">
        <v>6.3507702515249002E-3</v>
      </c>
      <c r="Q140" s="108">
        <v>5.4826728684086298E-4</v>
      </c>
      <c r="R140" s="108">
        <v>1.60874218572803E-3</v>
      </c>
      <c r="S140" s="108">
        <v>2.6202977411548499E-3</v>
      </c>
      <c r="T140" s="108">
        <v>5.6047394476355598E-3</v>
      </c>
      <c r="U140" s="108">
        <v>2.3388462354024999E-2</v>
      </c>
      <c r="V140" s="108">
        <v>2.2389045959009798E-2</v>
      </c>
    </row>
    <row r="141" spans="1:22" ht="15.6">
      <c r="A141" s="110" t="s">
        <v>542</v>
      </c>
      <c r="B141" s="110" t="s">
        <v>543</v>
      </c>
      <c r="C141" s="110" t="s">
        <v>119</v>
      </c>
      <c r="D141" s="110" t="s">
        <v>322</v>
      </c>
      <c r="E141" s="109">
        <v>456.44</v>
      </c>
      <c r="F141" s="109">
        <v>3.4867400653707699E-3</v>
      </c>
      <c r="G141" s="109">
        <v>8.0754906497365088E-3</v>
      </c>
      <c r="H141" s="109">
        <v>1.27848951773039E-2</v>
      </c>
      <c r="I141" s="109">
        <v>3.3492200605668102E-3</v>
      </c>
      <c r="J141" s="109">
        <v>3.0052573594962699E-3</v>
      </c>
      <c r="K141" s="109">
        <v>7.1204680443488896E-4</v>
      </c>
      <c r="L141" s="109">
        <v>7.7817559578321701E-4</v>
      </c>
      <c r="M141" s="109">
        <v>7.7817559578321701E-4</v>
      </c>
      <c r="N141" s="108">
        <v>4.0956893647306502E-4</v>
      </c>
      <c r="O141" s="108">
        <v>2.2400870909216001E-3</v>
      </c>
      <c r="P141" s="108">
        <v>1.6320787428886101E-3</v>
      </c>
      <c r="Q141" s="108">
        <v>6.8876771637536806E-4</v>
      </c>
      <c r="R141" s="108">
        <v>5.4102062603278E-4</v>
      </c>
      <c r="S141" s="108">
        <v>2.0023031694482701E-3</v>
      </c>
      <c r="T141" s="108">
        <v>2.8392106800519097E-3</v>
      </c>
      <c r="U141" s="108">
        <v>1.5145583840116101E-2</v>
      </c>
      <c r="V141" s="108">
        <v>1.2246992495757699E-2</v>
      </c>
    </row>
    <row r="142" spans="1:22" ht="15.6">
      <c r="A142" s="110" t="s">
        <v>708</v>
      </c>
      <c r="B142" s="110" t="s">
        <v>709</v>
      </c>
      <c r="C142" s="110" t="s">
        <v>114</v>
      </c>
      <c r="D142" s="110" t="s">
        <v>121</v>
      </c>
      <c r="E142" s="109">
        <v>0</v>
      </c>
      <c r="F142" s="109" t="s">
        <v>1550</v>
      </c>
      <c r="G142" s="109" t="s">
        <v>1550</v>
      </c>
      <c r="H142" s="109" t="s">
        <v>1550</v>
      </c>
      <c r="I142" s="109" t="s">
        <v>1550</v>
      </c>
      <c r="J142" s="109" t="s">
        <v>1550</v>
      </c>
      <c r="K142" s="109" t="s">
        <v>1550</v>
      </c>
      <c r="L142" s="109" t="s">
        <v>1550</v>
      </c>
      <c r="M142" s="109">
        <v>2.0490260580171564E-3</v>
      </c>
      <c r="N142" s="111">
        <v>0</v>
      </c>
      <c r="O142" s="111">
        <v>0</v>
      </c>
      <c r="P142" s="111">
        <v>0</v>
      </c>
      <c r="Q142" s="111">
        <v>0</v>
      </c>
      <c r="R142" s="111">
        <v>0</v>
      </c>
      <c r="S142" s="111">
        <v>0</v>
      </c>
      <c r="T142" s="111">
        <v>0</v>
      </c>
      <c r="U142" s="111">
        <v>0</v>
      </c>
      <c r="V142" s="111" t="s">
        <v>1550</v>
      </c>
    </row>
    <row r="143" spans="1:22" ht="15.6">
      <c r="A143" s="110" t="s">
        <v>552</v>
      </c>
      <c r="B143" s="110" t="s">
        <v>553</v>
      </c>
      <c r="C143" s="110" t="s">
        <v>119</v>
      </c>
      <c r="D143" s="110" t="s">
        <v>319</v>
      </c>
      <c r="E143" s="109">
        <v>34.340000000000003</v>
      </c>
      <c r="F143" s="109">
        <v>3.05369000739934E-2</v>
      </c>
      <c r="G143" s="109">
        <v>6.4922624504324206E-2</v>
      </c>
      <c r="H143" s="109">
        <v>8.4428766449137091E-2</v>
      </c>
      <c r="I143" s="109">
        <v>1.58496144422559E-2</v>
      </c>
      <c r="J143" s="109">
        <v>3.5649276968361698E-3</v>
      </c>
      <c r="K143" s="109">
        <v>4.3703610061298595E-4</v>
      </c>
      <c r="L143" s="109">
        <v>4.2925643176095199E-3</v>
      </c>
      <c r="M143" s="109">
        <v>4.2925643176095199E-3</v>
      </c>
      <c r="N143" s="108">
        <v>3.6965088161584604E-4</v>
      </c>
      <c r="O143" s="108">
        <v>1.03708009405501E-3</v>
      </c>
      <c r="P143" s="108">
        <v>1.1362775237820399E-3</v>
      </c>
      <c r="Q143" s="108">
        <v>1.91728905634027E-4</v>
      </c>
      <c r="R143" s="108">
        <v>3.32800537958248E-4</v>
      </c>
      <c r="S143" s="108">
        <v>8.9783453444209304E-4</v>
      </c>
      <c r="T143" s="108">
        <v>1.52858280300409E-3</v>
      </c>
      <c r="U143" s="108">
        <v>7.0007750749907999E-3</v>
      </c>
      <c r="V143" s="108">
        <v>2.8791519290491101E-3</v>
      </c>
    </row>
    <row r="144" spans="1:22" ht="15.6">
      <c r="A144" s="110" t="s">
        <v>554</v>
      </c>
      <c r="B144" s="110" t="s">
        <v>555</v>
      </c>
      <c r="C144" s="110" t="s">
        <v>119</v>
      </c>
      <c r="D144" s="110" t="s">
        <v>325</v>
      </c>
      <c r="E144" s="109">
        <v>83.84</v>
      </c>
      <c r="F144" s="109">
        <v>2.06782582356776E-2</v>
      </c>
      <c r="G144" s="109">
        <v>3.6745765401622596E-2</v>
      </c>
      <c r="H144" s="109">
        <v>5.5766690533509897E-2</v>
      </c>
      <c r="I144" s="109">
        <v>1.29827759720534E-2</v>
      </c>
      <c r="J144" s="109">
        <v>2.3521782481906498E-3</v>
      </c>
      <c r="K144" s="109">
        <v>3.2103709015217705E-4</v>
      </c>
      <c r="L144" s="109">
        <v>1.2465175625845999E-3</v>
      </c>
      <c r="M144" s="109">
        <v>1.2465175625845999E-3</v>
      </c>
      <c r="N144" s="108">
        <v>4.3854305251417005E-4</v>
      </c>
      <c r="O144" s="108">
        <v>5.17472980184747E-4</v>
      </c>
      <c r="P144" s="108">
        <v>9.4108488662442103E-4</v>
      </c>
      <c r="Q144" s="108">
        <v>3.5078084402548798E-4</v>
      </c>
      <c r="R144" s="108">
        <v>3.5161513216659798E-4</v>
      </c>
      <c r="S144" s="108">
        <v>7.8825699945024694E-4</v>
      </c>
      <c r="T144" s="108">
        <v>1.6376851432146299E-3</v>
      </c>
      <c r="U144" s="108">
        <v>6.55130893920305E-3</v>
      </c>
      <c r="V144" s="108">
        <v>2.5873184154658201E-3</v>
      </c>
    </row>
    <row r="145" spans="1:22" ht="15.6">
      <c r="A145" s="110" t="s">
        <v>550</v>
      </c>
      <c r="B145" s="110" t="s">
        <v>551</v>
      </c>
      <c r="C145" s="110" t="s">
        <v>116</v>
      </c>
      <c r="D145" s="110" t="s">
        <v>325</v>
      </c>
      <c r="E145" s="109">
        <v>198.08</v>
      </c>
      <c r="F145" s="109">
        <v>3.6971931368116602E-4</v>
      </c>
      <c r="G145" s="109">
        <v>1.2917340629874899E-3</v>
      </c>
      <c r="H145" s="109">
        <v>2.0642179336387303E-3</v>
      </c>
      <c r="I145" s="109">
        <v>5.5901350759800499E-4</v>
      </c>
      <c r="J145" s="109">
        <v>2.3540601999299301E-3</v>
      </c>
      <c r="K145" s="109">
        <v>4.1884171340712101E-4</v>
      </c>
      <c r="L145" s="109">
        <v>2.4502426990276999E-3</v>
      </c>
      <c r="M145" s="109">
        <v>2.4502426990276999E-3</v>
      </c>
      <c r="N145" s="108">
        <v>5.8535296229417298E-4</v>
      </c>
      <c r="O145" s="108">
        <v>7.47481990241386E-4</v>
      </c>
      <c r="P145" s="108">
        <v>3.2645382324950401E-3</v>
      </c>
      <c r="Q145" s="108">
        <v>6.0818701333532497E-4</v>
      </c>
      <c r="R145" s="108">
        <v>1.1006263141567101E-3</v>
      </c>
      <c r="S145" s="108">
        <v>1.8985274009030602E-3</v>
      </c>
      <c r="T145" s="108">
        <v>2.8451309383166899E-3</v>
      </c>
      <c r="U145" s="108">
        <v>1.42486038470769E-2</v>
      </c>
      <c r="V145" s="108">
        <v>6.7451270389564397E-3</v>
      </c>
    </row>
    <row r="146" spans="1:22" ht="15.6">
      <c r="A146" s="110" t="s">
        <v>546</v>
      </c>
      <c r="B146" s="110" t="s">
        <v>547</v>
      </c>
      <c r="C146" s="110" t="s">
        <v>115</v>
      </c>
      <c r="D146" s="110" t="s">
        <v>121</v>
      </c>
      <c r="E146" s="109">
        <v>6539.2</v>
      </c>
      <c r="F146" s="109">
        <v>1.41628197611319E-5</v>
      </c>
      <c r="G146" s="109">
        <v>1.20466748743262E-5</v>
      </c>
      <c r="H146" s="109">
        <v>2.12369191187412E-5</v>
      </c>
      <c r="I146" s="109">
        <v>4.03488255267108E-5</v>
      </c>
      <c r="J146" s="109">
        <v>2.54360576335616E-3</v>
      </c>
      <c r="K146" s="109">
        <v>9.1224379763813499E-4</v>
      </c>
      <c r="L146" s="109">
        <v>1.0635570059621001E-3</v>
      </c>
      <c r="M146" s="109">
        <v>1.0635570059621001E-3</v>
      </c>
      <c r="N146" s="108">
        <v>2.2282529068839802E-3</v>
      </c>
      <c r="O146" s="108">
        <v>4.0597940106388399E-3</v>
      </c>
      <c r="P146" s="108">
        <v>1.6314147975011201E-3</v>
      </c>
      <c r="Q146" s="108">
        <v>7.8160761950352804E-4</v>
      </c>
      <c r="R146" s="108">
        <v>1.3404279868424998E-3</v>
      </c>
      <c r="S146" s="108">
        <v>1.2938023409787901E-3</v>
      </c>
      <c r="T146" s="108">
        <v>4.5372579311567605E-3</v>
      </c>
      <c r="U146" s="108">
        <v>1.8012227668009299E-2</v>
      </c>
      <c r="V146" s="108">
        <v>4.1672143735684307E-2</v>
      </c>
    </row>
    <row r="147" spans="1:22" ht="15.6">
      <c r="A147" s="110" t="s">
        <v>556</v>
      </c>
      <c r="B147" s="110" t="s">
        <v>557</v>
      </c>
      <c r="C147" s="110" t="s">
        <v>115</v>
      </c>
      <c r="D147" s="110" t="s">
        <v>121</v>
      </c>
      <c r="E147" s="109">
        <v>9020.6299999999992</v>
      </c>
      <c r="F147" s="109">
        <v>2.3357549357590299E-5</v>
      </c>
      <c r="G147" s="109">
        <v>1.58932240172964E-5</v>
      </c>
      <c r="H147" s="109">
        <v>3.1551527941150198E-5</v>
      </c>
      <c r="I147" s="109">
        <v>3.6746895553461199E-5</v>
      </c>
      <c r="J147" s="109">
        <v>1.96439662230715E-3</v>
      </c>
      <c r="K147" s="109">
        <v>9.2435650255971193E-4</v>
      </c>
      <c r="L147" s="109">
        <v>1.20797592441101E-3</v>
      </c>
      <c r="M147" s="109">
        <v>1.20797592441101E-3</v>
      </c>
      <c r="N147" s="108">
        <v>3.0019332773988201E-3</v>
      </c>
      <c r="O147" s="108">
        <v>3.3044311010962299E-3</v>
      </c>
      <c r="P147" s="108">
        <v>1.4734795135566902E-3</v>
      </c>
      <c r="Q147" s="108">
        <v>7.2832252982731201E-4</v>
      </c>
      <c r="R147" s="108">
        <v>9.8231639901679596E-4</v>
      </c>
      <c r="S147" s="108">
        <v>1.2753569833151401E-3</v>
      </c>
      <c r="T147" s="108">
        <v>4.8609561788181795E-3</v>
      </c>
      <c r="U147" s="108">
        <v>1.7394960128486601E-2</v>
      </c>
      <c r="V147" s="108">
        <v>2.3665794744261798E-2</v>
      </c>
    </row>
    <row r="148" spans="1:22" ht="15.6">
      <c r="A148" s="110" t="s">
        <v>544</v>
      </c>
      <c r="B148" s="110" t="s">
        <v>545</v>
      </c>
      <c r="C148" s="110" t="s">
        <v>118</v>
      </c>
      <c r="D148" s="110" t="s">
        <v>325</v>
      </c>
      <c r="E148" s="109">
        <v>65.3</v>
      </c>
      <c r="F148" s="109">
        <v>1.35046101591596E-3</v>
      </c>
      <c r="G148" s="109">
        <v>3.6895529458726901E-3</v>
      </c>
      <c r="H148" s="109">
        <v>6.5080485850240403E-3</v>
      </c>
      <c r="I148" s="109">
        <v>1.5804321199015001E-3</v>
      </c>
      <c r="J148" s="109">
        <v>4.27264820346346E-3</v>
      </c>
      <c r="K148" s="109">
        <v>4.91967729466662E-3</v>
      </c>
      <c r="L148" s="109">
        <v>5.0830804820675302E-3</v>
      </c>
      <c r="M148" s="109">
        <v>5.0830804820675302E-3</v>
      </c>
      <c r="N148" s="108">
        <v>1.0077589139575399E-3</v>
      </c>
      <c r="O148" s="108">
        <v>1.3448597282626901E-3</v>
      </c>
      <c r="P148" s="108">
        <v>2.4752823507777797E-3</v>
      </c>
      <c r="Q148" s="108">
        <v>5.3110234394517907E-4</v>
      </c>
      <c r="R148" s="108">
        <v>1.84096357666765E-3</v>
      </c>
      <c r="S148" s="108">
        <v>2.0322016956739E-3</v>
      </c>
      <c r="T148" s="108">
        <v>3.2041734353093899E-3</v>
      </c>
      <c r="U148" s="108">
        <v>1.6465733842902001E-2</v>
      </c>
      <c r="V148" s="108">
        <v>2.6036021462279301E-2</v>
      </c>
    </row>
    <row r="149" spans="1:22" ht="15.6">
      <c r="A149" s="110" t="s">
        <v>764</v>
      </c>
      <c r="B149" s="110" t="s">
        <v>765</v>
      </c>
      <c r="C149" s="110" t="s">
        <v>114</v>
      </c>
      <c r="D149" s="110" t="s">
        <v>121</v>
      </c>
      <c r="E149" s="109">
        <v>1529.52</v>
      </c>
      <c r="F149" s="109">
        <v>1.9711096204836999E-4</v>
      </c>
      <c r="G149" s="109">
        <v>8.8492270551963502E-4</v>
      </c>
      <c r="H149" s="109">
        <v>2.74010228982392E-3</v>
      </c>
      <c r="I149" s="109">
        <v>6.537631899605729E-4</v>
      </c>
      <c r="J149" s="109">
        <v>1.1143463501940501E-2</v>
      </c>
      <c r="K149" s="109">
        <v>7.3381648490706696E-4</v>
      </c>
      <c r="L149" s="109">
        <v>1.7554886888310802E-3</v>
      </c>
      <c r="M149" s="109">
        <v>1.7554886888310802E-3</v>
      </c>
      <c r="N149" s="108">
        <v>1.05707331635049E-3</v>
      </c>
      <c r="O149" s="108">
        <v>6.5536591596898992E-3</v>
      </c>
      <c r="P149" s="108">
        <v>4.8930113117599599E-3</v>
      </c>
      <c r="Q149" s="108">
        <v>1.5072575810865002E-3</v>
      </c>
      <c r="R149" s="108">
        <v>2.7232537581601901E-3</v>
      </c>
      <c r="S149" s="108">
        <v>7.3100334115473297E-3</v>
      </c>
      <c r="T149" s="108">
        <v>1.2211690813802599E-2</v>
      </c>
      <c r="U149" s="108">
        <v>4.1698903899022595E-2</v>
      </c>
      <c r="V149" s="108">
        <v>4.0705997375118201E-2</v>
      </c>
    </row>
    <row r="150" spans="1:22" ht="15.6">
      <c r="A150" s="110" t="s">
        <v>548</v>
      </c>
      <c r="B150" s="110" t="s">
        <v>549</v>
      </c>
      <c r="C150" s="110" t="s">
        <v>114</v>
      </c>
      <c r="D150" s="110" t="s">
        <v>121</v>
      </c>
      <c r="E150" s="109">
        <v>4906.07</v>
      </c>
      <c r="F150" s="109">
        <v>3.4582312478152398E-5</v>
      </c>
      <c r="G150" s="109">
        <v>4.01953897633267E-5</v>
      </c>
      <c r="H150" s="109">
        <v>1.89095310253475E-4</v>
      </c>
      <c r="I150" s="109">
        <v>4.1665011429168404E-5</v>
      </c>
      <c r="J150" s="109">
        <v>2.0068966981735899E-3</v>
      </c>
      <c r="K150" s="109">
        <v>9.7607976718427805E-4</v>
      </c>
      <c r="L150" s="109">
        <v>2.8028631755493303E-3</v>
      </c>
      <c r="M150" s="109">
        <v>2.8028631755493303E-3</v>
      </c>
      <c r="N150" s="108">
        <v>2.2128677862832298E-3</v>
      </c>
      <c r="O150" s="108">
        <v>5.1581898614474096E-3</v>
      </c>
      <c r="P150" s="108">
        <v>1.7783017112676502E-3</v>
      </c>
      <c r="Q150" s="108">
        <v>6.0338279593381697E-4</v>
      </c>
      <c r="R150" s="108">
        <v>1.7158148396158401E-3</v>
      </c>
      <c r="S150" s="108">
        <v>1.16335037108938E-3</v>
      </c>
      <c r="T150" s="108">
        <v>4.9904176405424893E-3</v>
      </c>
      <c r="U150" s="108">
        <v>1.9973234632748801E-2</v>
      </c>
      <c r="V150" s="108">
        <v>2.58601662703455E-2</v>
      </c>
    </row>
    <row r="151" spans="1:22" ht="15.6">
      <c r="A151" s="110" t="s">
        <v>710</v>
      </c>
      <c r="B151" s="110" t="s">
        <v>711</v>
      </c>
      <c r="C151" s="110" t="s">
        <v>117</v>
      </c>
      <c r="D151" s="110" t="s">
        <v>121</v>
      </c>
      <c r="E151" s="109">
        <v>852.62</v>
      </c>
      <c r="F151" s="109">
        <v>1.6464826441284501E-4</v>
      </c>
      <c r="G151" s="109">
        <v>8.1084363759798594E-5</v>
      </c>
      <c r="H151" s="109">
        <v>1.19673423274747E-3</v>
      </c>
      <c r="I151" s="109">
        <v>1.41182394428017E-4</v>
      </c>
      <c r="J151" s="109">
        <v>2.1318924217927902E-3</v>
      </c>
      <c r="K151" s="109">
        <v>1.7036459872523402E-4</v>
      </c>
      <c r="L151" s="109">
        <v>2.23010863786747E-3</v>
      </c>
      <c r="M151" s="109">
        <v>2.23010863786747E-3</v>
      </c>
      <c r="N151" s="108">
        <v>3.38335938656816E-4</v>
      </c>
      <c r="O151" s="108">
        <v>2.0653943585374999E-3</v>
      </c>
      <c r="P151" s="108">
        <v>6.8757848840541496E-4</v>
      </c>
      <c r="Q151" s="108">
        <v>6.9921377336238809E-4</v>
      </c>
      <c r="R151" s="108">
        <v>1.4185827191860699E-3</v>
      </c>
      <c r="S151" s="108">
        <v>7.7219969963943601E-4</v>
      </c>
      <c r="T151" s="108">
        <v>4.4291925555542504E-3</v>
      </c>
      <c r="U151" s="108">
        <v>1.32795147462503E-2</v>
      </c>
      <c r="V151" s="108">
        <v>6.3523129352877402E-3</v>
      </c>
    </row>
    <row r="152" spans="1:22" ht="15.6">
      <c r="A152" s="110" t="s">
        <v>558</v>
      </c>
      <c r="B152" s="110" t="s">
        <v>559</v>
      </c>
      <c r="C152" s="110" t="s">
        <v>118</v>
      </c>
      <c r="D152" s="110" t="s">
        <v>325</v>
      </c>
      <c r="E152" s="109">
        <v>43.09</v>
      </c>
      <c r="F152" s="109">
        <v>3.9094602472449598E-3</v>
      </c>
      <c r="G152" s="109">
        <v>8.2548078925849498E-3</v>
      </c>
      <c r="H152" s="109">
        <v>1.7524005696338E-2</v>
      </c>
      <c r="I152" s="109">
        <v>2.6818905847046104E-3</v>
      </c>
      <c r="J152" s="109">
        <v>5.5273416760424198E-3</v>
      </c>
      <c r="K152" s="109">
        <v>9.9437581641315196E-4</v>
      </c>
      <c r="L152" s="109">
        <v>3.4184987386754197E-3</v>
      </c>
      <c r="M152" s="109">
        <v>3.4184987386754197E-3</v>
      </c>
      <c r="N152" s="108">
        <v>1.4164246394946598E-3</v>
      </c>
      <c r="O152" s="108">
        <v>1.9286252786331599E-3</v>
      </c>
      <c r="P152" s="108">
        <v>2.9750197293983097E-3</v>
      </c>
      <c r="Q152" s="108">
        <v>1.05104567141613E-3</v>
      </c>
      <c r="R152" s="108">
        <v>2.5316513814350101E-3</v>
      </c>
      <c r="S152" s="108">
        <v>3.4170326414008599E-3</v>
      </c>
      <c r="T152" s="108">
        <v>7.5090493259201002E-3</v>
      </c>
      <c r="U152" s="108">
        <v>2.4070301488868798E-2</v>
      </c>
      <c r="V152" s="108">
        <v>1.7594413208565599E-2</v>
      </c>
    </row>
    <row r="153" spans="1:22" ht="15.6">
      <c r="A153" s="110" t="s">
        <v>562</v>
      </c>
      <c r="B153" s="110" t="s">
        <v>563</v>
      </c>
      <c r="C153" s="110" t="s">
        <v>116</v>
      </c>
      <c r="D153" s="110" t="s">
        <v>121</v>
      </c>
      <c r="E153" s="109">
        <v>1415.24</v>
      </c>
      <c r="F153" s="109">
        <v>3.4717903552171001E-4</v>
      </c>
      <c r="G153" s="109">
        <v>1.07499152517518E-3</v>
      </c>
      <c r="H153" s="109">
        <v>2.18447061448987E-3</v>
      </c>
      <c r="I153" s="109">
        <v>3.6631465158280498E-4</v>
      </c>
      <c r="J153" s="109">
        <v>1.4796203506014999E-3</v>
      </c>
      <c r="K153" s="109">
        <v>3.3802799730359406E-4</v>
      </c>
      <c r="L153" s="109">
        <v>1.13741853332359E-3</v>
      </c>
      <c r="M153" s="109">
        <v>1.13741853332359E-3</v>
      </c>
      <c r="N153" s="108">
        <v>5.6944109820156598E-4</v>
      </c>
      <c r="O153" s="108">
        <v>2.2089291871171999E-3</v>
      </c>
      <c r="P153" s="108">
        <v>2.6966701440685396E-3</v>
      </c>
      <c r="Q153" s="108">
        <v>6.92106615804384E-4</v>
      </c>
      <c r="R153" s="108">
        <v>8.2104890642457201E-4</v>
      </c>
      <c r="S153" s="108">
        <v>1.4003929372371901E-3</v>
      </c>
      <c r="T153" s="108">
        <v>2.2573359363312001E-3</v>
      </c>
      <c r="U153" s="108">
        <v>1.3543624008849599E-2</v>
      </c>
      <c r="V153" s="108">
        <v>6.9245743675935894E-3</v>
      </c>
    </row>
    <row r="154" spans="1:22" ht="15.6">
      <c r="A154" s="110" t="s">
        <v>568</v>
      </c>
      <c r="B154" s="110" t="s">
        <v>569</v>
      </c>
      <c r="C154" s="110" t="s">
        <v>116</v>
      </c>
      <c r="D154" s="110" t="s">
        <v>322</v>
      </c>
      <c r="E154" s="109">
        <v>412.21</v>
      </c>
      <c r="F154" s="109">
        <v>4.1049788518717899E-4</v>
      </c>
      <c r="G154" s="109">
        <v>1.33300447299055E-3</v>
      </c>
      <c r="H154" s="109">
        <v>2.0076265868996502E-3</v>
      </c>
      <c r="I154" s="109">
        <v>9.1008685045075295E-4</v>
      </c>
      <c r="J154" s="109">
        <v>1.05811154896114E-3</v>
      </c>
      <c r="K154" s="109">
        <v>2.71507545824536E-4</v>
      </c>
      <c r="L154" s="109">
        <v>1.2984084745599699E-3</v>
      </c>
      <c r="M154" s="109">
        <v>1.2984084745599699E-3</v>
      </c>
      <c r="N154" s="108">
        <v>1.6306182064139202E-4</v>
      </c>
      <c r="O154" s="108">
        <v>7.4103467419032001E-4</v>
      </c>
      <c r="P154" s="108">
        <v>1.6029753691572401E-3</v>
      </c>
      <c r="Q154" s="108">
        <v>3.2507575786056399E-4</v>
      </c>
      <c r="R154" s="108">
        <v>7.2643128395872398E-4</v>
      </c>
      <c r="S154" s="108">
        <v>9.3498404159916306E-4</v>
      </c>
      <c r="T154" s="108">
        <v>1.9098847649917702E-3</v>
      </c>
      <c r="U154" s="108">
        <v>8.3188140242252805E-3</v>
      </c>
      <c r="V154" s="108">
        <v>3.49731933452506E-3</v>
      </c>
    </row>
    <row r="155" spans="1:22" ht="15.6">
      <c r="A155" s="110" t="s">
        <v>570</v>
      </c>
      <c r="B155" s="110" t="s">
        <v>571</v>
      </c>
      <c r="C155" s="110" t="s">
        <v>114</v>
      </c>
      <c r="D155" s="110" t="s">
        <v>325</v>
      </c>
      <c r="E155" s="109">
        <v>203.18</v>
      </c>
      <c r="F155" s="109">
        <v>4.9904869339858202E-4</v>
      </c>
      <c r="G155" s="109">
        <v>1.1061874931430399E-3</v>
      </c>
      <c r="H155" s="109">
        <v>3.7933179157321598E-3</v>
      </c>
      <c r="I155" s="109">
        <v>1.11974132017938E-3</v>
      </c>
      <c r="J155" s="109">
        <v>6.2727011237545694E-3</v>
      </c>
      <c r="K155" s="109">
        <v>9.7364149335047898E-4</v>
      </c>
      <c r="L155" s="109">
        <v>2.5483583763480301E-3</v>
      </c>
      <c r="M155" s="109">
        <v>2.5483583763480301E-3</v>
      </c>
      <c r="N155" s="108">
        <v>7.184350242452921E-4</v>
      </c>
      <c r="O155" s="108">
        <v>2.9717396314400801E-3</v>
      </c>
      <c r="P155" s="108">
        <v>6.6745125948834798E-3</v>
      </c>
      <c r="Q155" s="108">
        <v>8.42602580592504E-4</v>
      </c>
      <c r="R155" s="108">
        <v>1.2736360905904699E-3</v>
      </c>
      <c r="S155" s="108">
        <v>2.6967405080605602E-3</v>
      </c>
      <c r="T155" s="108">
        <v>4.0330750218322796E-3</v>
      </c>
      <c r="U155" s="108">
        <v>2.4427003187839001E-2</v>
      </c>
      <c r="V155" s="108">
        <v>2.62366869915726E-2</v>
      </c>
    </row>
    <row r="156" spans="1:22" ht="15.6">
      <c r="A156" s="110" t="s">
        <v>560</v>
      </c>
      <c r="B156" s="110" t="s">
        <v>561</v>
      </c>
      <c r="C156" s="110" t="s">
        <v>114</v>
      </c>
      <c r="D156" s="110" t="s">
        <v>322</v>
      </c>
      <c r="E156" s="109">
        <v>2045.3</v>
      </c>
      <c r="F156" s="109">
        <v>1.85048245973671E-4</v>
      </c>
      <c r="G156" s="109">
        <v>5.6875424984378898E-4</v>
      </c>
      <c r="H156" s="109">
        <v>3.1097047799486899E-3</v>
      </c>
      <c r="I156" s="109">
        <v>7.0953118099773102E-4</v>
      </c>
      <c r="J156" s="109">
        <v>2.0393486020085401E-2</v>
      </c>
      <c r="K156" s="109">
        <v>2.0830955495055501E-3</v>
      </c>
      <c r="L156" s="109">
        <v>1.6941702241236999E-3</v>
      </c>
      <c r="M156" s="109">
        <v>1.6941702241236999E-3</v>
      </c>
      <c r="N156" s="108">
        <v>1.86601339856206E-3</v>
      </c>
      <c r="O156" s="108">
        <v>9.7505445828153705E-3</v>
      </c>
      <c r="P156" s="108">
        <v>9.6366020808108504E-3</v>
      </c>
      <c r="Q156" s="108">
        <v>2.6422846273269403E-3</v>
      </c>
      <c r="R156" s="108">
        <v>3.7151638807091502E-3</v>
      </c>
      <c r="S156" s="108">
        <v>8.9767052830336397E-3</v>
      </c>
      <c r="T156" s="108">
        <v>1.74143465950608E-2</v>
      </c>
      <c r="U156" s="108">
        <v>6.1573844205608602E-2</v>
      </c>
      <c r="V156" s="108">
        <v>5.5293751668748503E-2</v>
      </c>
    </row>
    <row r="157" spans="1:22" ht="15.6">
      <c r="A157" s="110" t="s">
        <v>564</v>
      </c>
      <c r="B157" s="110" t="s">
        <v>565</v>
      </c>
      <c r="C157" s="110" t="s">
        <v>114</v>
      </c>
      <c r="D157" s="110" t="s">
        <v>325</v>
      </c>
      <c r="E157" s="109">
        <v>61.41</v>
      </c>
      <c r="F157" s="109">
        <v>3.7046401452117601E-3</v>
      </c>
      <c r="G157" s="109">
        <v>1.2683600577595901E-2</v>
      </c>
      <c r="H157" s="109">
        <v>1.67593726862659E-2</v>
      </c>
      <c r="I157" s="109">
        <v>5.86787757157588E-3</v>
      </c>
      <c r="J157" s="109">
        <v>1.1544150240274E-2</v>
      </c>
      <c r="K157" s="109">
        <v>1.40618051767773E-3</v>
      </c>
      <c r="L157" s="109">
        <v>3.314560844759E-3</v>
      </c>
      <c r="M157" s="109">
        <v>3.314560844759E-3</v>
      </c>
      <c r="N157" s="108">
        <v>5.5031220349193897E-4</v>
      </c>
      <c r="O157" s="108">
        <v>2.9717822383348302E-3</v>
      </c>
      <c r="P157" s="108">
        <v>3.34594789845935E-3</v>
      </c>
      <c r="Q157" s="108">
        <v>8.3563857302406004E-4</v>
      </c>
      <c r="R157" s="108">
        <v>1.27973479827557E-3</v>
      </c>
      <c r="S157" s="108">
        <v>3.4585441700407398E-3</v>
      </c>
      <c r="T157" s="108">
        <v>6.3921776907823096E-3</v>
      </c>
      <c r="U157" s="108">
        <v>2.38863268420667E-2</v>
      </c>
      <c r="V157" s="108">
        <v>2.4212441539556897E-2</v>
      </c>
    </row>
    <row r="158" spans="1:22" ht="15.6">
      <c r="A158" s="110" t="s">
        <v>572</v>
      </c>
      <c r="B158" s="110" t="s">
        <v>573</v>
      </c>
      <c r="C158" s="110" t="s">
        <v>115</v>
      </c>
      <c r="D158" s="110" t="s">
        <v>121</v>
      </c>
      <c r="E158" s="109">
        <v>1159.33</v>
      </c>
      <c r="F158" s="109">
        <v>1.65827542211842E-5</v>
      </c>
      <c r="G158" s="109">
        <v>6.3766588114296899E-5</v>
      </c>
      <c r="H158" s="109">
        <v>3.0297064897300002E-4</v>
      </c>
      <c r="I158" s="109">
        <v>5.25068729611094E-5</v>
      </c>
      <c r="J158" s="109">
        <v>4.8006829585808299E-3</v>
      </c>
      <c r="K158" s="109">
        <v>7.9936452391735698E-4</v>
      </c>
      <c r="L158" s="109">
        <v>1.9453750665466502E-3</v>
      </c>
      <c r="M158" s="109">
        <v>1.9453750665466502E-3</v>
      </c>
      <c r="N158" s="108">
        <v>2.2157440576992399E-3</v>
      </c>
      <c r="O158" s="108">
        <v>7.2459245160418299E-3</v>
      </c>
      <c r="P158" s="108">
        <v>9.3456536402506292E-3</v>
      </c>
      <c r="Q158" s="108">
        <v>1.6502040653910601E-3</v>
      </c>
      <c r="R158" s="108">
        <v>2.0153294837841197E-3</v>
      </c>
      <c r="S158" s="108">
        <v>6.85184998643185E-4</v>
      </c>
      <c r="T158" s="108">
        <v>9.2685796530049894E-3</v>
      </c>
      <c r="U158" s="108">
        <v>3.8972672679762899E-2</v>
      </c>
      <c r="V158" s="108">
        <v>5.3681016677486398E-2</v>
      </c>
    </row>
    <row r="159" spans="1:22" ht="15.6">
      <c r="A159" s="110" t="s">
        <v>576</v>
      </c>
      <c r="B159" s="110" t="s">
        <v>577</v>
      </c>
      <c r="C159" s="110" t="s">
        <v>116</v>
      </c>
      <c r="D159" s="110" t="s">
        <v>121</v>
      </c>
      <c r="E159" s="109">
        <v>0</v>
      </c>
      <c r="F159" s="109">
        <v>2.62403200921066E-4</v>
      </c>
      <c r="G159" s="109">
        <v>1.1360380297208801E-4</v>
      </c>
      <c r="H159" s="109">
        <v>1.8181233287242E-3</v>
      </c>
      <c r="I159" s="109">
        <v>3.6375559460627302E-4</v>
      </c>
      <c r="J159" s="109">
        <v>3.1807042387552004E-3</v>
      </c>
      <c r="K159" s="109">
        <v>4.2645260965627698E-4</v>
      </c>
      <c r="L159" s="109">
        <v>1.2142105235814599E-3</v>
      </c>
      <c r="M159" s="109">
        <v>1.2142105235814599E-3</v>
      </c>
      <c r="N159" s="108">
        <v>1.38535393769329E-3</v>
      </c>
      <c r="O159" s="108">
        <v>2.9995505052309301E-3</v>
      </c>
      <c r="P159" s="108">
        <v>2.4594699076355702E-3</v>
      </c>
      <c r="Q159" s="108">
        <v>1.7944172393297899E-3</v>
      </c>
      <c r="R159" s="108">
        <v>1.14027760656789E-3</v>
      </c>
      <c r="S159" s="108">
        <v>2.5393721404263401E-3</v>
      </c>
      <c r="T159" s="108">
        <v>6.83487172633062E-3</v>
      </c>
      <c r="U159" s="108">
        <v>2.2782508638034601E-2</v>
      </c>
      <c r="V159" s="108">
        <v>1.9008705548591701E-2</v>
      </c>
    </row>
    <row r="160" spans="1:22" ht="15.6">
      <c r="A160" s="110" t="s">
        <v>766</v>
      </c>
      <c r="B160" s="110" t="s">
        <v>713</v>
      </c>
      <c r="C160" s="110" t="s">
        <v>114</v>
      </c>
      <c r="D160" s="110" t="s">
        <v>319</v>
      </c>
      <c r="E160" s="109">
        <v>0</v>
      </c>
      <c r="F160" s="109">
        <v>7.5572999998500199E-5</v>
      </c>
      <c r="G160" s="109">
        <v>7.3400987031892694E-4</v>
      </c>
      <c r="H160" s="109">
        <v>8.5374719338220204E-4</v>
      </c>
      <c r="I160" s="109">
        <v>1.4784137183870399E-4</v>
      </c>
      <c r="J160" s="109">
        <v>9.4665894830213496E-3</v>
      </c>
      <c r="K160" s="109">
        <v>4.0304936412244802E-3</v>
      </c>
      <c r="L160" s="109">
        <v>3.7009525900530203E-3</v>
      </c>
      <c r="M160" s="109">
        <v>3.7009525900530203E-3</v>
      </c>
      <c r="N160" s="108">
        <v>4.9360595282238397E-4</v>
      </c>
      <c r="O160" s="108">
        <v>2.6728919125530502E-3</v>
      </c>
      <c r="P160" s="108">
        <v>1.5368570134880999E-2</v>
      </c>
      <c r="Q160" s="108">
        <v>1.1448902513026399E-3</v>
      </c>
      <c r="R160" s="108">
        <v>1.5898937230878099E-3</v>
      </c>
      <c r="S160" s="108">
        <v>2.8214177195047198E-3</v>
      </c>
      <c r="T160" s="108">
        <v>6.2610126292299501E-3</v>
      </c>
      <c r="U160" s="108">
        <v>3.9432687117346099E-2</v>
      </c>
      <c r="V160" s="108">
        <v>4.5572030692735001E-2</v>
      </c>
    </row>
    <row r="161" spans="1:22" ht="15.6">
      <c r="A161" s="110" t="s">
        <v>574</v>
      </c>
      <c r="B161" s="110" t="s">
        <v>575</v>
      </c>
      <c r="C161" s="110" t="s">
        <v>115</v>
      </c>
      <c r="D161" s="110" t="s">
        <v>121</v>
      </c>
      <c r="E161" s="109">
        <v>2746.69</v>
      </c>
      <c r="F161" s="109">
        <v>1.40691985785713E-5</v>
      </c>
      <c r="G161" s="109">
        <v>8.4548089151151689E-5</v>
      </c>
      <c r="H161" s="109">
        <v>8.0926537515014002E-5</v>
      </c>
      <c r="I161" s="109">
        <v>9.5665032155540803E-5</v>
      </c>
      <c r="J161" s="109">
        <v>3.55553854849716E-3</v>
      </c>
      <c r="K161" s="109">
        <v>1.0835043634699201E-3</v>
      </c>
      <c r="L161" s="109">
        <v>1.72146988850252E-3</v>
      </c>
      <c r="M161" s="109">
        <v>1.72146988850252E-3</v>
      </c>
      <c r="N161" s="108">
        <v>1.9577263129425403E-3</v>
      </c>
      <c r="O161" s="108">
        <v>6.8340045820370404E-3</v>
      </c>
      <c r="P161" s="108">
        <v>2.5324462544117901E-3</v>
      </c>
      <c r="Q161" s="108">
        <v>8.4708184353818696E-4</v>
      </c>
      <c r="R161" s="108">
        <v>1.08528866150254E-3</v>
      </c>
      <c r="S161" s="108">
        <v>4.6126377995112599E-4</v>
      </c>
      <c r="T161" s="108">
        <v>5.7552896250427504E-3</v>
      </c>
      <c r="U161" s="108">
        <v>2.2867447599014098E-2</v>
      </c>
      <c r="V161" s="108">
        <v>3.0359978267221401E-2</v>
      </c>
    </row>
    <row r="162" spans="1:22" ht="15.6">
      <c r="A162" s="110" t="s">
        <v>566</v>
      </c>
      <c r="B162" s="110" t="s">
        <v>567</v>
      </c>
      <c r="C162" s="110" t="s">
        <v>116</v>
      </c>
      <c r="D162" s="110" t="s">
        <v>322</v>
      </c>
      <c r="E162" s="109">
        <v>478.71</v>
      </c>
      <c r="F162" s="109">
        <v>3.2081791246631002E-4</v>
      </c>
      <c r="G162" s="109">
        <v>7.1980245696777597E-4</v>
      </c>
      <c r="H162" s="109">
        <v>1.6000548006872299E-3</v>
      </c>
      <c r="I162" s="109">
        <v>4.4639341409746498E-4</v>
      </c>
      <c r="J162" s="109">
        <v>2.8209095832636599E-3</v>
      </c>
      <c r="K162" s="109">
        <v>4.3222395903941502E-4</v>
      </c>
      <c r="L162" s="109">
        <v>3.0277839932738603E-3</v>
      </c>
      <c r="M162" s="109">
        <v>3.0277839932738603E-3</v>
      </c>
      <c r="N162" s="108">
        <v>5.9331730674649702E-4</v>
      </c>
      <c r="O162" s="108">
        <v>4.28034703211935E-3</v>
      </c>
      <c r="P162" s="108">
        <v>2.5953476565113197E-3</v>
      </c>
      <c r="Q162" s="108">
        <v>6.3368201225288208E-4</v>
      </c>
      <c r="R162" s="108">
        <v>1.12786219814487E-3</v>
      </c>
      <c r="S162" s="108">
        <v>1.8652572014112101E-3</v>
      </c>
      <c r="T162" s="108">
        <v>3.2750473277952498E-3</v>
      </c>
      <c r="U162" s="108">
        <v>1.55083398496628E-2</v>
      </c>
      <c r="V162" s="108">
        <v>1.5969415389907898E-2</v>
      </c>
    </row>
    <row r="163" spans="1:22" ht="15.6">
      <c r="A163" s="110" t="s">
        <v>676</v>
      </c>
      <c r="B163" s="110" t="s">
        <v>677</v>
      </c>
      <c r="C163" s="110" t="s">
        <v>117</v>
      </c>
      <c r="D163" s="110" t="s">
        <v>322</v>
      </c>
      <c r="E163" s="109">
        <v>0</v>
      </c>
      <c r="F163" s="109">
        <v>2.0756976927297898E-4</v>
      </c>
      <c r="G163" s="109">
        <v>2.2385929992252803E-4</v>
      </c>
      <c r="H163" s="109">
        <v>1.2980795417967999E-3</v>
      </c>
      <c r="I163" s="109">
        <v>2.3729016738396498E-4</v>
      </c>
      <c r="J163" s="109">
        <v>3.9110042035661397E-3</v>
      </c>
      <c r="K163" s="109">
        <v>1.7591545237122301E-4</v>
      </c>
      <c r="L163" s="109">
        <v>2.0669400230528198E-3</v>
      </c>
      <c r="M163" s="109">
        <v>2.0669400230528198E-3</v>
      </c>
      <c r="N163" s="108">
        <v>3.1350612262371898E-4</v>
      </c>
      <c r="O163" s="108">
        <v>9.3517716444509299E-4</v>
      </c>
      <c r="P163" s="108">
        <v>7.43010215884762E-4</v>
      </c>
      <c r="Q163" s="108">
        <v>9.3928724994810097E-4</v>
      </c>
      <c r="R163" s="108">
        <v>1.3341917676055201E-3</v>
      </c>
      <c r="S163" s="108">
        <v>8.04372138344547E-4</v>
      </c>
      <c r="T163" s="108">
        <v>6.1119318732816598E-3</v>
      </c>
      <c r="U163" s="108">
        <v>1.5370458169786E-2</v>
      </c>
      <c r="V163" s="108">
        <v>1.33607087754201E-2</v>
      </c>
    </row>
    <row r="164" spans="1:22" ht="15.6">
      <c r="A164" s="110" t="s">
        <v>714</v>
      </c>
      <c r="B164" s="110" t="s">
        <v>715</v>
      </c>
      <c r="C164" s="110" t="s">
        <v>114</v>
      </c>
      <c r="D164" s="110" t="s">
        <v>121</v>
      </c>
      <c r="E164" s="109">
        <v>0</v>
      </c>
      <c r="F164" s="109" t="s">
        <v>1550</v>
      </c>
      <c r="G164" s="109" t="s">
        <v>1550</v>
      </c>
      <c r="H164" s="109" t="s">
        <v>1550</v>
      </c>
      <c r="I164" s="109" t="s">
        <v>1550</v>
      </c>
      <c r="J164" s="109" t="s">
        <v>1550</v>
      </c>
      <c r="K164" s="109" t="s">
        <v>1550</v>
      </c>
      <c r="L164" s="109" t="s">
        <v>1550</v>
      </c>
      <c r="M164" s="109">
        <v>2.0490260580171564E-3</v>
      </c>
      <c r="N164" s="111">
        <v>0</v>
      </c>
      <c r="O164" s="111">
        <v>0</v>
      </c>
      <c r="P164" s="111">
        <v>0</v>
      </c>
      <c r="Q164" s="111">
        <v>0</v>
      </c>
      <c r="R164" s="111">
        <v>0</v>
      </c>
      <c r="S164" s="111">
        <v>0</v>
      </c>
      <c r="T164" s="111">
        <v>0</v>
      </c>
      <c r="U164" s="111">
        <v>0</v>
      </c>
      <c r="V164" s="111" t="s">
        <v>1550</v>
      </c>
    </row>
    <row r="165" spans="1:22" ht="15.6">
      <c r="A165" s="110" t="s">
        <v>578</v>
      </c>
      <c r="B165" s="110" t="s">
        <v>579</v>
      </c>
      <c r="C165" s="110" t="s">
        <v>117</v>
      </c>
      <c r="D165" s="110" t="s">
        <v>121</v>
      </c>
      <c r="E165" s="109">
        <v>1934.08</v>
      </c>
      <c r="F165" s="109">
        <v>6.5073688174369302E-5</v>
      </c>
      <c r="G165" s="109">
        <v>4.69646664514177E-5</v>
      </c>
      <c r="H165" s="109">
        <v>4.4754059293042195E-4</v>
      </c>
      <c r="I165" s="109">
        <v>3.64535782801137E-5</v>
      </c>
      <c r="J165" s="109">
        <v>2.0021845242546902E-3</v>
      </c>
      <c r="K165" s="109">
        <v>1.7326385918395201E-4</v>
      </c>
      <c r="L165" s="109">
        <v>3.0803873291076899E-3</v>
      </c>
      <c r="M165" s="109">
        <v>3.0803873291076899E-3</v>
      </c>
      <c r="N165" s="108">
        <v>4.6825091187947105E-4</v>
      </c>
      <c r="O165" s="108">
        <v>1.4675625595881299E-3</v>
      </c>
      <c r="P165" s="108">
        <v>3.9816203200147398E-4</v>
      </c>
      <c r="Q165" s="108">
        <v>1.0625039059610601E-3</v>
      </c>
      <c r="R165" s="108">
        <v>6.9753638786822193E-4</v>
      </c>
      <c r="S165" s="108">
        <v>3.3182430987088698E-5</v>
      </c>
      <c r="T165" s="108">
        <v>2.9389938935596598E-3</v>
      </c>
      <c r="U165" s="108">
        <v>7.4189185473090592E-3</v>
      </c>
      <c r="V165" s="108">
        <v>7.2671130095936995E-3</v>
      </c>
    </row>
    <row r="166" spans="1:22" ht="15.6">
      <c r="A166" s="110" t="s">
        <v>580</v>
      </c>
      <c r="B166" s="110" t="s">
        <v>581</v>
      </c>
      <c r="C166" s="110" t="s">
        <v>115</v>
      </c>
      <c r="D166" s="110" t="s">
        <v>121</v>
      </c>
      <c r="E166" s="109">
        <v>963.01</v>
      </c>
      <c r="F166" s="109">
        <v>3.21977709940323E-5</v>
      </c>
      <c r="G166" s="109">
        <v>4.2899263402970098E-4</v>
      </c>
      <c r="H166" s="109">
        <v>6.7554944443624389E-4</v>
      </c>
      <c r="I166" s="109">
        <v>1.05789009539328E-4</v>
      </c>
      <c r="J166" s="109">
        <v>7.4165716661283706E-3</v>
      </c>
      <c r="K166" s="109">
        <v>1.2443897486446901E-3</v>
      </c>
      <c r="L166" s="109">
        <v>1.9830473080756097E-3</v>
      </c>
      <c r="M166" s="109">
        <v>1.9830473080756097E-3</v>
      </c>
      <c r="N166" s="108">
        <v>4.0942995559350099E-3</v>
      </c>
      <c r="O166" s="108">
        <v>1.0243411572471401E-2</v>
      </c>
      <c r="P166" s="108">
        <v>2.3989770056863501E-2</v>
      </c>
      <c r="Q166" s="108">
        <v>1.9349424412624099E-3</v>
      </c>
      <c r="R166" s="108">
        <v>3.4387021237735002E-3</v>
      </c>
      <c r="S166" s="108">
        <v>2.4942470441006201E-4</v>
      </c>
      <c r="T166" s="108">
        <v>1.19584194893167E-2</v>
      </c>
      <c r="U166" s="108">
        <v>6.1113433976115801E-2</v>
      </c>
      <c r="V166" s="108">
        <v>5.6072106523670298E-2</v>
      </c>
    </row>
    <row r="167" spans="1:22" ht="15.6">
      <c r="A167" s="110" t="s">
        <v>582</v>
      </c>
      <c r="B167" s="110" t="s">
        <v>583</v>
      </c>
      <c r="C167" s="110" t="s">
        <v>115</v>
      </c>
      <c r="D167" s="110" t="s">
        <v>322</v>
      </c>
      <c r="E167" s="109">
        <v>935.73</v>
      </c>
      <c r="F167" s="109">
        <v>6.5363493040272296E-5</v>
      </c>
      <c r="G167" s="109">
        <v>5.27978681660732E-4</v>
      </c>
      <c r="H167" s="109">
        <v>7.0696305246746203E-4</v>
      </c>
      <c r="I167" s="109">
        <v>1.52907244763179E-4</v>
      </c>
      <c r="J167" s="109">
        <v>6.22637226695129E-3</v>
      </c>
      <c r="K167" s="109">
        <v>6.96230184930406E-4</v>
      </c>
      <c r="L167" s="109">
        <v>3.56121582326757E-3</v>
      </c>
      <c r="M167" s="109">
        <v>3.56121582326757E-3</v>
      </c>
      <c r="N167" s="108">
        <v>5.1445482512327998E-3</v>
      </c>
      <c r="O167" s="108">
        <v>7.9085579204998101E-3</v>
      </c>
      <c r="P167" s="108">
        <v>9.8166523131790907E-3</v>
      </c>
      <c r="Q167" s="108">
        <v>1.5652774555899699E-3</v>
      </c>
      <c r="R167" s="108">
        <v>3.90841771702744E-3</v>
      </c>
      <c r="S167" s="108">
        <v>3.7771144171621102E-3</v>
      </c>
      <c r="T167" s="108">
        <v>1.55896743483354E-2</v>
      </c>
      <c r="U167" s="108">
        <v>5.7692831491471898E-2</v>
      </c>
      <c r="V167" s="108">
        <v>5.67936862656147E-2</v>
      </c>
    </row>
    <row r="168" spans="1:22" ht="15.6">
      <c r="A168" s="110" t="s">
        <v>584</v>
      </c>
      <c r="B168" s="110" t="s">
        <v>585</v>
      </c>
      <c r="C168" s="110" t="s">
        <v>119</v>
      </c>
      <c r="D168" s="110" t="s">
        <v>319</v>
      </c>
      <c r="E168" s="109">
        <v>60.22</v>
      </c>
      <c r="F168" s="109">
        <v>6.1057213603616196E-3</v>
      </c>
      <c r="G168" s="109">
        <v>1.1276682144253701E-2</v>
      </c>
      <c r="H168" s="109">
        <v>1.52540542835205E-2</v>
      </c>
      <c r="I168" s="109">
        <v>5.2168383434056101E-3</v>
      </c>
      <c r="J168" s="109">
        <v>1.8745682078133701E-3</v>
      </c>
      <c r="K168" s="109">
        <v>8.1656006374193298E-4</v>
      </c>
      <c r="L168" s="109">
        <v>3.6390681974553E-3</v>
      </c>
      <c r="M168" s="109">
        <v>3.6390681974553E-3</v>
      </c>
      <c r="N168" s="108">
        <v>3.1009081472045501E-4</v>
      </c>
      <c r="O168" s="108">
        <v>5.3027113318741793E-4</v>
      </c>
      <c r="P168" s="108">
        <v>2.3193153310939203E-3</v>
      </c>
      <c r="Q168" s="108">
        <v>2.1684265793028799E-4</v>
      </c>
      <c r="R168" s="108">
        <v>3.3241541572048703E-4</v>
      </c>
      <c r="S168" s="108">
        <v>1.5772463073912E-3</v>
      </c>
      <c r="T168" s="108">
        <v>1.81221718435494E-3</v>
      </c>
      <c r="U168" s="108">
        <v>7.3286163256709906E-3</v>
      </c>
      <c r="V168" s="108">
        <v>1.06751710416581E-2</v>
      </c>
    </row>
    <row r="169" spans="1:22" ht="15.6">
      <c r="A169" s="110" t="s">
        <v>590</v>
      </c>
      <c r="B169" s="110" t="s">
        <v>591</v>
      </c>
      <c r="C169" s="110" t="s">
        <v>117</v>
      </c>
      <c r="D169" s="110" t="s">
        <v>121</v>
      </c>
      <c r="E169" s="109">
        <v>1442</v>
      </c>
      <c r="F169" s="109">
        <v>1.15824202639538E-4</v>
      </c>
      <c r="G169" s="109">
        <v>1.0844883309883601E-4</v>
      </c>
      <c r="H169" s="109">
        <v>7.9803848773331494E-4</v>
      </c>
      <c r="I169" s="109">
        <v>1.82659122897458E-4</v>
      </c>
      <c r="J169" s="109">
        <v>4.3195631098060603E-3</v>
      </c>
      <c r="K169" s="109">
        <v>2.2273085496821101E-4</v>
      </c>
      <c r="L169" s="109">
        <v>1.8482099859175199E-3</v>
      </c>
      <c r="M169" s="109">
        <v>1.8482099859175199E-3</v>
      </c>
      <c r="N169" s="108">
        <v>4.9627907775544398E-4</v>
      </c>
      <c r="O169" s="108">
        <v>1.79581121539082E-3</v>
      </c>
      <c r="P169" s="108">
        <v>1.0747650093935099E-3</v>
      </c>
      <c r="Q169" s="108">
        <v>1.6230110459981401E-3</v>
      </c>
      <c r="R169" s="108">
        <v>1.52031033275038E-3</v>
      </c>
      <c r="S169" s="108">
        <v>1.7314458119781302E-3</v>
      </c>
      <c r="T169" s="108">
        <v>6.8161306362970004E-3</v>
      </c>
      <c r="U169" s="108">
        <v>1.9765431664948502E-2</v>
      </c>
      <c r="V169" s="108">
        <v>1.37555288252549E-2</v>
      </c>
    </row>
    <row r="170" spans="1:22" ht="15.6">
      <c r="A170" s="110" t="s">
        <v>622</v>
      </c>
      <c r="B170" s="110" t="s">
        <v>623</v>
      </c>
      <c r="C170" s="110" t="s">
        <v>119</v>
      </c>
      <c r="D170" s="110" t="s">
        <v>319</v>
      </c>
      <c r="E170" s="109">
        <v>21.58</v>
      </c>
      <c r="F170" s="109">
        <v>3.9574988812126994E-3</v>
      </c>
      <c r="G170" s="109">
        <v>9.3918278932438003E-3</v>
      </c>
      <c r="H170" s="109">
        <v>1.2310808621148502E-2</v>
      </c>
      <c r="I170" s="109">
        <v>1.64631419985381E-3</v>
      </c>
      <c r="J170" s="109">
        <v>3.9973171964607403E-3</v>
      </c>
      <c r="K170" s="109">
        <v>4.07476528248838E-4</v>
      </c>
      <c r="L170" s="109">
        <v>2.51749888740985E-3</v>
      </c>
      <c r="M170" s="109">
        <v>2.51749888740985E-3</v>
      </c>
      <c r="N170" s="108">
        <v>3.0947308997830302E-4</v>
      </c>
      <c r="O170" s="108">
        <v>1.4515950615259701E-3</v>
      </c>
      <c r="P170" s="108">
        <v>1.1287220798193399E-3</v>
      </c>
      <c r="Q170" s="108">
        <v>6.20841280591049E-4</v>
      </c>
      <c r="R170" s="108">
        <v>1.94632783639594E-3</v>
      </c>
      <c r="S170" s="108">
        <v>2.0511241249715102E-3</v>
      </c>
      <c r="T170" s="108">
        <v>7.5726307055947904E-3</v>
      </c>
      <c r="U170" s="108">
        <v>1.97136713201497E-2</v>
      </c>
      <c r="V170" s="108">
        <v>1.20551324190742E-2</v>
      </c>
    </row>
    <row r="171" spans="1:22" ht="15.6">
      <c r="A171" s="110" t="s">
        <v>592</v>
      </c>
      <c r="B171" s="110" t="s">
        <v>593</v>
      </c>
      <c r="C171" s="110" t="s">
        <v>119</v>
      </c>
      <c r="D171" s="110" t="s">
        <v>325</v>
      </c>
      <c r="E171" s="109">
        <v>71.22</v>
      </c>
      <c r="F171" s="109">
        <v>7.7771229577895595E-3</v>
      </c>
      <c r="G171" s="109">
        <v>1.61005001536806E-2</v>
      </c>
      <c r="H171" s="109">
        <v>2.2546154547385098E-2</v>
      </c>
      <c r="I171" s="109">
        <v>4.0848092375965197E-3</v>
      </c>
      <c r="J171" s="109">
        <v>3.6493960855316799E-3</v>
      </c>
      <c r="K171" s="109">
        <v>4.9086104175279999E-4</v>
      </c>
      <c r="L171" s="109">
        <v>1.6561390546142799E-3</v>
      </c>
      <c r="M171" s="109">
        <v>1.6561390546142799E-3</v>
      </c>
      <c r="N171" s="108">
        <v>6.87614369511499E-4</v>
      </c>
      <c r="O171" s="108">
        <v>8.927442785045881E-4</v>
      </c>
      <c r="P171" s="108">
        <v>1.5921361826001701E-3</v>
      </c>
      <c r="Q171" s="108">
        <v>6.3623559368453401E-4</v>
      </c>
      <c r="R171" s="108">
        <v>4.85427136495475E-4</v>
      </c>
      <c r="S171" s="108">
        <v>1.4210716270777399E-3</v>
      </c>
      <c r="T171" s="108">
        <v>2.2657515410947097E-3</v>
      </c>
      <c r="U171" s="108">
        <v>1.0748054240749099E-2</v>
      </c>
      <c r="V171" s="108">
        <v>6.5907315102795407E-3</v>
      </c>
    </row>
    <row r="172" spans="1:22" ht="15.6">
      <c r="A172" s="110" t="s">
        <v>600</v>
      </c>
      <c r="B172" s="110" t="s">
        <v>601</v>
      </c>
      <c r="C172" s="110" t="s">
        <v>114</v>
      </c>
      <c r="D172" s="110" t="s">
        <v>121</v>
      </c>
      <c r="E172" s="109">
        <v>3969.89</v>
      </c>
      <c r="F172" s="109">
        <v>1.47001804963763E-5</v>
      </c>
      <c r="G172" s="109">
        <v>1.38169861040468E-5</v>
      </c>
      <c r="H172" s="109">
        <v>7.2768473440180497E-5</v>
      </c>
      <c r="I172" s="109">
        <v>1.62755282395662E-4</v>
      </c>
      <c r="J172" s="109">
        <v>1.5525702197182901E-3</v>
      </c>
      <c r="K172" s="109">
        <v>3.0975966423822497E-4</v>
      </c>
      <c r="L172" s="109">
        <v>3.67314601735029E-3</v>
      </c>
      <c r="M172" s="109">
        <v>3.67314601735029E-3</v>
      </c>
      <c r="N172" s="108">
        <v>7.9345283774255192E-4</v>
      </c>
      <c r="O172" s="108">
        <v>2.4806796568750599E-3</v>
      </c>
      <c r="P172" s="108">
        <v>3.5495348345413102E-3</v>
      </c>
      <c r="Q172" s="108">
        <v>4.3023429078914199E-4</v>
      </c>
      <c r="R172" s="108">
        <v>7.41373396526788E-4</v>
      </c>
      <c r="S172" s="108">
        <v>4.0660015688970101E-4</v>
      </c>
      <c r="T172" s="108">
        <v>2.85598134913792E-3</v>
      </c>
      <c r="U172" s="108">
        <v>1.31059174117472E-2</v>
      </c>
      <c r="V172" s="108">
        <v>1.3940786392570301E-2</v>
      </c>
    </row>
    <row r="173" spans="1:22" ht="15.6">
      <c r="A173" s="110" t="s">
        <v>606</v>
      </c>
      <c r="B173" s="110" t="s">
        <v>607</v>
      </c>
      <c r="C173" s="110" t="s">
        <v>114</v>
      </c>
      <c r="D173" s="110" t="s">
        <v>325</v>
      </c>
      <c r="E173" s="109">
        <v>106.35</v>
      </c>
      <c r="F173" s="109">
        <v>1.39596438061286E-3</v>
      </c>
      <c r="G173" s="109">
        <v>1.0933487048983901E-2</v>
      </c>
      <c r="H173" s="109">
        <v>1.3878904711042001E-2</v>
      </c>
      <c r="I173" s="109">
        <v>1.64730585638961E-3</v>
      </c>
      <c r="J173" s="109">
        <v>1.5696587151158303E-2</v>
      </c>
      <c r="K173" s="109">
        <v>1.06008336036792E-3</v>
      </c>
      <c r="L173" s="109">
        <v>3.9296551208792699E-3</v>
      </c>
      <c r="M173" s="109">
        <v>3.9296551208792699E-3</v>
      </c>
      <c r="N173" s="108">
        <v>1.07506822715991E-3</v>
      </c>
      <c r="O173" s="108">
        <v>4.1450309874633299E-3</v>
      </c>
      <c r="P173" s="108">
        <v>7.0974354536115798E-3</v>
      </c>
      <c r="Q173" s="108">
        <v>1.6663242404336199E-3</v>
      </c>
      <c r="R173" s="108">
        <v>3.7887618743681702E-3</v>
      </c>
      <c r="S173" s="108">
        <v>1.2337811440815302E-2</v>
      </c>
      <c r="T173" s="108">
        <v>1.53320627963364E-2</v>
      </c>
      <c r="U173" s="108">
        <v>5.7107842788089801E-2</v>
      </c>
      <c r="V173" s="108">
        <v>5.2709718302679301E-2</v>
      </c>
    </row>
    <row r="174" spans="1:22" ht="15.6">
      <c r="A174" s="110" t="s">
        <v>598</v>
      </c>
      <c r="B174" s="110" t="s">
        <v>599</v>
      </c>
      <c r="C174" s="110" t="s">
        <v>119</v>
      </c>
      <c r="D174" s="110" t="s">
        <v>319</v>
      </c>
      <c r="E174" s="109">
        <v>43.16</v>
      </c>
      <c r="F174" s="109">
        <v>8.3189134051376897E-3</v>
      </c>
      <c r="G174" s="109">
        <v>1.6464334042572099E-2</v>
      </c>
      <c r="H174" s="109">
        <v>2.2568819868791203E-2</v>
      </c>
      <c r="I174" s="109">
        <v>1.24738561450726E-2</v>
      </c>
      <c r="J174" s="109">
        <v>4.6379790936365E-3</v>
      </c>
      <c r="K174" s="109">
        <v>4.9493770185138407E-4</v>
      </c>
      <c r="L174" s="109">
        <v>2.0010389544182399E-3</v>
      </c>
      <c r="M174" s="109">
        <v>2.0010389544182399E-3</v>
      </c>
      <c r="N174" s="108">
        <v>4.6250076941530802E-4</v>
      </c>
      <c r="O174" s="108">
        <v>4.3145637283499604E-4</v>
      </c>
      <c r="P174" s="108">
        <v>1.6602121401890001E-3</v>
      </c>
      <c r="Q174" s="108">
        <v>5.1871399830962298E-4</v>
      </c>
      <c r="R174" s="108">
        <v>5.30316080247398E-4</v>
      </c>
      <c r="S174" s="108">
        <v>1.8487613930877099E-3</v>
      </c>
      <c r="T174" s="108">
        <v>2.1346346460479099E-3</v>
      </c>
      <c r="U174" s="108">
        <v>1.1051802419911801E-2</v>
      </c>
      <c r="V174" s="108">
        <v>8.7583056199263803E-3</v>
      </c>
    </row>
    <row r="175" spans="1:22" ht="15.6">
      <c r="A175" s="110" t="s">
        <v>418</v>
      </c>
      <c r="B175" s="110" t="s">
        <v>419</v>
      </c>
      <c r="C175" s="110" t="s">
        <v>116</v>
      </c>
      <c r="D175" s="110" t="s">
        <v>322</v>
      </c>
      <c r="E175" s="109">
        <v>442.21</v>
      </c>
      <c r="F175" s="109">
        <v>4.5114090003386698E-4</v>
      </c>
      <c r="G175" s="109">
        <v>1.3888359044906999E-3</v>
      </c>
      <c r="H175" s="109">
        <v>2.3260162560666399E-3</v>
      </c>
      <c r="I175" s="109">
        <v>7.2758263520346703E-4</v>
      </c>
      <c r="J175" s="109">
        <v>1.7408115193412101E-3</v>
      </c>
      <c r="K175" s="109">
        <v>3.6560898667466603E-4</v>
      </c>
      <c r="L175" s="109">
        <v>1.6368638726876302E-3</v>
      </c>
      <c r="M175" s="109">
        <v>1.6368638726876302E-3</v>
      </c>
      <c r="N175" s="108">
        <v>7.3825394644375195E-4</v>
      </c>
      <c r="O175" s="108">
        <v>1.0353488040077199E-3</v>
      </c>
      <c r="P175" s="108">
        <v>3.6637060335255201E-3</v>
      </c>
      <c r="Q175" s="108">
        <v>8.5071602200411799E-4</v>
      </c>
      <c r="R175" s="108">
        <v>1.3852908303830301E-3</v>
      </c>
      <c r="S175" s="108">
        <v>1.6067149901241502E-3</v>
      </c>
      <c r="T175" s="108">
        <v>3.7632057560534099E-3</v>
      </c>
      <c r="U175" s="108">
        <v>1.5652199989593902E-2</v>
      </c>
      <c r="V175" s="108">
        <v>7.5039895835587699E-3</v>
      </c>
    </row>
    <row r="176" spans="1:22" ht="15.6">
      <c r="A176" s="110" t="s">
        <v>718</v>
      </c>
      <c r="B176" s="110" t="s">
        <v>719</v>
      </c>
      <c r="C176" s="110" t="s">
        <v>115</v>
      </c>
      <c r="D176" s="110" t="s">
        <v>121</v>
      </c>
      <c r="E176" s="109">
        <v>4131.9399999999996</v>
      </c>
      <c r="F176" s="109">
        <v>1.0347394512841801E-5</v>
      </c>
      <c r="G176" s="109">
        <v>8.98639084311109E-6</v>
      </c>
      <c r="H176" s="109">
        <v>1.53562796077171E-5</v>
      </c>
      <c r="I176" s="109">
        <v>2.6024388480317603E-5</v>
      </c>
      <c r="J176" s="109">
        <v>2.4259124072121101E-3</v>
      </c>
      <c r="K176" s="109">
        <v>6.0667795922945804E-4</v>
      </c>
      <c r="L176" s="109">
        <v>1.3004135279155301E-3</v>
      </c>
      <c r="M176" s="109">
        <v>1.3004135279155301E-3</v>
      </c>
      <c r="N176" s="108">
        <v>2.3364951264394098E-3</v>
      </c>
      <c r="O176" s="108">
        <v>3.8597075162183701E-3</v>
      </c>
      <c r="P176" s="108">
        <v>2.0992283005390497E-3</v>
      </c>
      <c r="Q176" s="108">
        <v>8.0945224018014097E-4</v>
      </c>
      <c r="R176" s="108">
        <v>9.7533589182015508E-4</v>
      </c>
      <c r="S176" s="108">
        <v>7.4145630081446105E-4</v>
      </c>
      <c r="T176" s="108">
        <v>4.7381795200000503E-3</v>
      </c>
      <c r="U176" s="108">
        <v>1.7296975083204599E-2</v>
      </c>
      <c r="V176" s="108">
        <v>3.0013927343762299E-2</v>
      </c>
    </row>
    <row r="177" spans="1:22" ht="15.6">
      <c r="A177" s="110" t="s">
        <v>608</v>
      </c>
      <c r="B177" s="110" t="s">
        <v>609</v>
      </c>
      <c r="C177" s="110" t="s">
        <v>119</v>
      </c>
      <c r="D177" s="110" t="s">
        <v>319</v>
      </c>
      <c r="E177" s="109">
        <v>0</v>
      </c>
      <c r="F177" s="109">
        <v>1.9191229208817297E-2</v>
      </c>
      <c r="G177" s="109">
        <v>3.7903984641356699E-2</v>
      </c>
      <c r="H177" s="109">
        <v>5.0559117023196605E-2</v>
      </c>
      <c r="I177" s="109">
        <v>1.66014908655812E-2</v>
      </c>
      <c r="J177" s="109">
        <v>3.6529404569452402E-3</v>
      </c>
      <c r="K177" s="109">
        <v>5.9905819922868896E-4</v>
      </c>
      <c r="L177" s="109">
        <v>8.9753010170761007E-3</v>
      </c>
      <c r="M177" s="109">
        <v>8.9753010170761007E-3</v>
      </c>
      <c r="N177" s="108">
        <v>2.9258348977313103E-4</v>
      </c>
      <c r="O177" s="108">
        <v>1.38102004781327E-3</v>
      </c>
      <c r="P177" s="108">
        <v>2.4625989053665099E-3</v>
      </c>
      <c r="Q177" s="108">
        <v>2.5375920467791599E-4</v>
      </c>
      <c r="R177" s="108">
        <v>4.5726859897147299E-4</v>
      </c>
      <c r="S177" s="108">
        <v>2.3205847120321998E-3</v>
      </c>
      <c r="T177" s="108">
        <v>2.2989359689665101E-3</v>
      </c>
      <c r="U177" s="108">
        <v>1.2688075318470701E-2</v>
      </c>
      <c r="V177" s="108">
        <v>9.0008069726799506E-3</v>
      </c>
    </row>
    <row r="178" spans="1:22" ht="15.6">
      <c r="A178" s="110" t="s">
        <v>594</v>
      </c>
      <c r="B178" s="110" t="s">
        <v>595</v>
      </c>
      <c r="C178" s="110" t="s">
        <v>115</v>
      </c>
      <c r="D178" s="110" t="s">
        <v>322</v>
      </c>
      <c r="E178" s="109">
        <v>919.17</v>
      </c>
      <c r="F178" s="109">
        <v>2.14831291593159E-5</v>
      </c>
      <c r="G178" s="109">
        <v>1.2066093352052701E-4</v>
      </c>
      <c r="H178" s="109">
        <v>4.7369784725290399E-4</v>
      </c>
      <c r="I178" s="109">
        <v>3.2512642706833598E-5</v>
      </c>
      <c r="J178" s="109">
        <v>8.9563994507634807E-3</v>
      </c>
      <c r="K178" s="109">
        <v>9.6975137850463891E-4</v>
      </c>
      <c r="L178" s="109">
        <v>2.0686251467688399E-3</v>
      </c>
      <c r="M178" s="109">
        <v>2.0686251467688399E-3</v>
      </c>
      <c r="N178" s="108">
        <v>2.92396949885486E-3</v>
      </c>
      <c r="O178" s="108">
        <v>5.8927995928804901E-3</v>
      </c>
      <c r="P178" s="108">
        <v>2.22491198048782E-2</v>
      </c>
      <c r="Q178" s="108">
        <v>1.4060460104139E-3</v>
      </c>
      <c r="R178" s="108">
        <v>2.97888554469866E-3</v>
      </c>
      <c r="S178" s="108">
        <v>2.7162955358858397E-3</v>
      </c>
      <c r="T178" s="108">
        <v>1.33724272461816E-2</v>
      </c>
      <c r="U178" s="108">
        <v>5.6491944841221005E-2</v>
      </c>
      <c r="V178" s="108">
        <v>7.1420278074204605E-2</v>
      </c>
    </row>
    <row r="179" spans="1:22" ht="15.6">
      <c r="A179" s="110" t="s">
        <v>716</v>
      </c>
      <c r="B179" s="110" t="s">
        <v>717</v>
      </c>
      <c r="C179" s="110" t="s">
        <v>119</v>
      </c>
      <c r="D179" s="110" t="s">
        <v>319</v>
      </c>
      <c r="E179" s="109">
        <v>32.68</v>
      </c>
      <c r="F179" s="109">
        <v>1.6059983909083201E-2</v>
      </c>
      <c r="G179" s="109">
        <v>3.2082908070049203E-2</v>
      </c>
      <c r="H179" s="109">
        <v>4.22453541338247E-2</v>
      </c>
      <c r="I179" s="109">
        <v>1.3377686650884299E-2</v>
      </c>
      <c r="J179" s="109">
        <v>2.9940826540195004E-3</v>
      </c>
      <c r="K179" s="109">
        <v>4.5811446291149399E-4</v>
      </c>
      <c r="L179" s="109">
        <v>3.5544753258283999E-3</v>
      </c>
      <c r="M179" s="109">
        <v>3.5544753258283999E-3</v>
      </c>
      <c r="N179" s="108">
        <v>3.2020354511833195E-4</v>
      </c>
      <c r="O179" s="108">
        <v>7.0686602718450899E-4</v>
      </c>
      <c r="P179" s="108">
        <v>1.90402988319346E-3</v>
      </c>
      <c r="Q179" s="108">
        <v>1.9982550027347501E-4</v>
      </c>
      <c r="R179" s="108">
        <v>3.1286986998036299E-4</v>
      </c>
      <c r="S179" s="108">
        <v>1.3461099967201099E-3</v>
      </c>
      <c r="T179" s="108">
        <v>1.4687870966625599E-3</v>
      </c>
      <c r="U179" s="108">
        <v>7.4933245345547303E-3</v>
      </c>
      <c r="V179" s="108">
        <v>6.4029298189788994E-3</v>
      </c>
    </row>
    <row r="180" spans="1:22" ht="15.6">
      <c r="A180" s="110" t="s">
        <v>767</v>
      </c>
      <c r="B180" s="110" t="s">
        <v>589</v>
      </c>
      <c r="C180" s="110" t="s">
        <v>119</v>
      </c>
      <c r="D180" s="110" t="s">
        <v>325</v>
      </c>
      <c r="E180" s="109">
        <v>186.1</v>
      </c>
      <c r="F180" s="109">
        <v>1.18647213949311E-3</v>
      </c>
      <c r="G180" s="109">
        <v>2.0333890232064802E-3</v>
      </c>
      <c r="H180" s="109">
        <v>3.5622610869908903E-3</v>
      </c>
      <c r="I180" s="109">
        <v>3.1946351916461902E-3</v>
      </c>
      <c r="J180" s="109">
        <v>1.1277533589987301E-3</v>
      </c>
      <c r="K180" s="109">
        <v>7.6152769223316295E-4</v>
      </c>
      <c r="L180" s="109">
        <v>9.5555130088892197E-4</v>
      </c>
      <c r="M180" s="109">
        <v>9.5555130088892197E-4</v>
      </c>
      <c r="N180" s="108">
        <v>5.9660160990119399E-4</v>
      </c>
      <c r="O180" s="108">
        <v>3.98672360830572E-4</v>
      </c>
      <c r="P180" s="108">
        <v>2.02680942688005E-3</v>
      </c>
      <c r="Q180" s="108">
        <v>4.0484044554862003E-4</v>
      </c>
      <c r="R180" s="108">
        <v>6.2292604035877404E-4</v>
      </c>
      <c r="S180" s="108">
        <v>2.2938926404379397E-3</v>
      </c>
      <c r="T180" s="108">
        <v>3.3157587947582699E-3</v>
      </c>
      <c r="U180" s="108">
        <v>1.1377010250250501E-2</v>
      </c>
      <c r="V180" s="108">
        <v>6.1868786578378396E-3</v>
      </c>
    </row>
    <row r="181" spans="1:22" ht="15.6">
      <c r="A181" s="110" t="s">
        <v>624</v>
      </c>
      <c r="B181" s="110" t="s">
        <v>625</v>
      </c>
      <c r="C181" s="110" t="s">
        <v>116</v>
      </c>
      <c r="D181" s="110" t="s">
        <v>322</v>
      </c>
      <c r="E181" s="109">
        <v>298.93</v>
      </c>
      <c r="F181" s="109">
        <v>6.3782999717446596E-4</v>
      </c>
      <c r="G181" s="109">
        <v>1.1019353090756601E-3</v>
      </c>
      <c r="H181" s="109">
        <v>3.3726922548801296E-3</v>
      </c>
      <c r="I181" s="109">
        <v>6.9456922676342696E-4</v>
      </c>
      <c r="J181" s="109">
        <v>5.3893598691246202E-3</v>
      </c>
      <c r="K181" s="109">
        <v>3.4552673541311303E-4</v>
      </c>
      <c r="L181" s="109">
        <v>1.1317574757870499E-3</v>
      </c>
      <c r="M181" s="109">
        <v>1.1317574757870499E-3</v>
      </c>
      <c r="N181" s="108">
        <v>1.05229627791889E-3</v>
      </c>
      <c r="O181" s="108">
        <v>1.8471939130600401E-3</v>
      </c>
      <c r="P181" s="108">
        <v>2.8854075724452297E-3</v>
      </c>
      <c r="Q181" s="108">
        <v>1.2100311625900799E-3</v>
      </c>
      <c r="R181" s="108">
        <v>1.27892366678833E-3</v>
      </c>
      <c r="S181" s="108">
        <v>3.2907948862777102E-3</v>
      </c>
      <c r="T181" s="108">
        <v>5.81779645943352E-3</v>
      </c>
      <c r="U181" s="108">
        <v>2.5165363028187098E-2</v>
      </c>
      <c r="V181" s="108">
        <v>2.3401247714330799E-2</v>
      </c>
    </row>
    <row r="182" spans="1:22" ht="15.6">
      <c r="A182" s="110" t="s">
        <v>602</v>
      </c>
      <c r="B182" s="110" t="s">
        <v>603</v>
      </c>
      <c r="C182" s="110" t="s">
        <v>115</v>
      </c>
      <c r="D182" s="110" t="s">
        <v>121</v>
      </c>
      <c r="E182" s="109">
        <v>1684.52</v>
      </c>
      <c r="F182" s="109">
        <v>2.2439395349000502E-5</v>
      </c>
      <c r="G182" s="109">
        <v>5.5725360974775501E-5</v>
      </c>
      <c r="H182" s="109">
        <v>3.3634219806184904E-4</v>
      </c>
      <c r="I182" s="109">
        <v>5.3526073090725606E-5</v>
      </c>
      <c r="J182" s="109">
        <v>5.3742381562414503E-3</v>
      </c>
      <c r="K182" s="109">
        <v>5.6352767458548998E-4</v>
      </c>
      <c r="L182" s="109">
        <v>1.7821870643445899E-3</v>
      </c>
      <c r="M182" s="109">
        <v>1.7821870643445899E-3</v>
      </c>
      <c r="N182" s="108">
        <v>3.8356602964118402E-3</v>
      </c>
      <c r="O182" s="108">
        <v>5.8739676023412905E-3</v>
      </c>
      <c r="P182" s="108">
        <v>1.5660063857151199E-2</v>
      </c>
      <c r="Q182" s="108">
        <v>1.1236507668950801E-3</v>
      </c>
      <c r="R182" s="108">
        <v>3.78372148170258E-3</v>
      </c>
      <c r="S182" s="108">
        <v>2.3245332044312399E-3</v>
      </c>
      <c r="T182" s="108">
        <v>1.15749597298998E-2</v>
      </c>
      <c r="U182" s="108">
        <v>4.8627896429156096E-2</v>
      </c>
      <c r="V182" s="108">
        <v>4.1882785363421098E-2</v>
      </c>
    </row>
    <row r="183" spans="1:22" ht="15.6">
      <c r="A183" s="110" t="s">
        <v>604</v>
      </c>
      <c r="B183" s="110" t="s">
        <v>605</v>
      </c>
      <c r="C183" s="110" t="s">
        <v>115</v>
      </c>
      <c r="D183" s="110" t="s">
        <v>121</v>
      </c>
      <c r="E183" s="109">
        <v>2774.99</v>
      </c>
      <c r="F183" s="109">
        <v>1.6404625152085498E-5</v>
      </c>
      <c r="G183" s="109">
        <v>6.0757679458815703E-5</v>
      </c>
      <c r="H183" s="109">
        <v>2.1094602729024E-4</v>
      </c>
      <c r="I183" s="109">
        <v>3.1712431494987097E-5</v>
      </c>
      <c r="J183" s="109">
        <v>3.8134459643278198E-3</v>
      </c>
      <c r="K183" s="109">
        <v>6.3177590916747297E-4</v>
      </c>
      <c r="L183" s="109">
        <v>2.45562935595699E-3</v>
      </c>
      <c r="M183" s="109">
        <v>2.45562935595699E-3</v>
      </c>
      <c r="N183" s="108">
        <v>3.4757365325524398E-3</v>
      </c>
      <c r="O183" s="108">
        <v>4.2810322822601395E-3</v>
      </c>
      <c r="P183" s="108">
        <v>1.03056555234498E-2</v>
      </c>
      <c r="Q183" s="108">
        <v>9.3714645166936405E-4</v>
      </c>
      <c r="R183" s="108">
        <v>2.0205960508603497E-3</v>
      </c>
      <c r="S183" s="108">
        <v>1.4149348255869799E-3</v>
      </c>
      <c r="T183" s="108">
        <v>5.3581732270133898E-3</v>
      </c>
      <c r="U183" s="108">
        <v>2.8524706328750298E-2</v>
      </c>
      <c r="V183" s="108">
        <v>3.8688628096729398E-2</v>
      </c>
    </row>
    <row r="184" spans="1:22" ht="15.6">
      <c r="A184" s="110" t="s">
        <v>628</v>
      </c>
      <c r="B184" s="110" t="s">
        <v>629</v>
      </c>
      <c r="C184" s="110" t="s">
        <v>115</v>
      </c>
      <c r="D184" s="110" t="s">
        <v>121</v>
      </c>
      <c r="E184" s="109">
        <v>6900.78</v>
      </c>
      <c r="F184" s="109">
        <v>2.68219387699092E-5</v>
      </c>
      <c r="G184" s="109">
        <v>2.5034420467761399E-5</v>
      </c>
      <c r="H184" s="109">
        <v>4.27135947779415E-5</v>
      </c>
      <c r="I184" s="109">
        <v>3.0059263479932098E-5</v>
      </c>
      <c r="J184" s="109">
        <v>1.69709204590439E-3</v>
      </c>
      <c r="K184" s="109">
        <v>8.049041081398281E-4</v>
      </c>
      <c r="L184" s="109">
        <v>1.4242195041076599E-3</v>
      </c>
      <c r="M184" s="109">
        <v>1.4242195041076599E-3</v>
      </c>
      <c r="N184" s="108">
        <v>3.2375852015322404E-3</v>
      </c>
      <c r="O184" s="108">
        <v>3.9232805309711806E-3</v>
      </c>
      <c r="P184" s="108">
        <v>2.3138153118158603E-3</v>
      </c>
      <c r="Q184" s="108">
        <v>7.7882757764201598E-4</v>
      </c>
      <c r="R184" s="108">
        <v>1.09926065723049E-3</v>
      </c>
      <c r="S184" s="108">
        <v>1.60742810268192E-3</v>
      </c>
      <c r="T184" s="108">
        <v>6.1463954811392003E-3</v>
      </c>
      <c r="U184" s="108">
        <v>2.20431243819342E-2</v>
      </c>
      <c r="V184" s="108">
        <v>2.9738531558927001E-2</v>
      </c>
    </row>
    <row r="185" spans="1:22" ht="15.6">
      <c r="A185" s="110" t="s">
        <v>768</v>
      </c>
      <c r="B185" s="110" t="s">
        <v>627</v>
      </c>
      <c r="C185" s="110" t="s">
        <v>119</v>
      </c>
      <c r="D185" s="110" t="s">
        <v>325</v>
      </c>
      <c r="E185" s="109">
        <v>279.91000000000003</v>
      </c>
      <c r="F185" s="109">
        <v>6.6143134611850304E-3</v>
      </c>
      <c r="G185" s="109">
        <v>1.5099902675014E-2</v>
      </c>
      <c r="H185" s="109">
        <v>2.2098617271025602E-2</v>
      </c>
      <c r="I185" s="109">
        <v>5.4408245116693505E-3</v>
      </c>
      <c r="J185" s="109">
        <v>2.7038381792692501E-3</v>
      </c>
      <c r="K185" s="109">
        <v>7.3695451331787297E-4</v>
      </c>
      <c r="L185" s="109">
        <v>1.2045060717802601E-3</v>
      </c>
      <c r="M185" s="109">
        <v>1.2045060717802601E-3</v>
      </c>
      <c r="N185" s="108">
        <v>7.2170930253945395E-4</v>
      </c>
      <c r="O185" s="108">
        <v>2.7129447652231697E-3</v>
      </c>
      <c r="P185" s="108">
        <v>1.9588856301396102E-3</v>
      </c>
      <c r="Q185" s="108">
        <v>7.4247330908994993E-4</v>
      </c>
      <c r="R185" s="108">
        <v>5.6211506087747002E-4</v>
      </c>
      <c r="S185" s="108">
        <v>2.5898494876452401E-3</v>
      </c>
      <c r="T185" s="108">
        <v>2.6676303695801302E-3</v>
      </c>
      <c r="U185" s="108">
        <v>1.66146048510591E-2</v>
      </c>
      <c r="V185" s="108">
        <v>9.4486190856487694E-3</v>
      </c>
    </row>
    <row r="186" spans="1:22" ht="15.6">
      <c r="A186" s="110" t="s">
        <v>769</v>
      </c>
      <c r="B186" s="110" t="s">
        <v>770</v>
      </c>
      <c r="C186" s="110" t="s">
        <v>116</v>
      </c>
      <c r="D186" s="110" t="s">
        <v>121</v>
      </c>
      <c r="E186" s="109">
        <v>0</v>
      </c>
      <c r="F186" s="109" t="s">
        <v>1550</v>
      </c>
      <c r="G186" s="109" t="s">
        <v>1550</v>
      </c>
      <c r="H186" s="109" t="s">
        <v>1550</v>
      </c>
      <c r="I186" s="109" t="s">
        <v>1550</v>
      </c>
      <c r="J186" s="109" t="s">
        <v>1550</v>
      </c>
      <c r="K186" s="109" t="s">
        <v>1550</v>
      </c>
      <c r="L186" s="109" t="s">
        <v>1550</v>
      </c>
      <c r="M186" s="109">
        <v>1.5445864557301757E-3</v>
      </c>
      <c r="N186" s="111">
        <v>0</v>
      </c>
      <c r="O186" s="111">
        <v>0</v>
      </c>
      <c r="P186" s="111">
        <v>0</v>
      </c>
      <c r="Q186" s="111">
        <v>0</v>
      </c>
      <c r="R186" s="111">
        <v>0</v>
      </c>
      <c r="S186" s="111">
        <v>0</v>
      </c>
      <c r="T186" s="111">
        <v>0</v>
      </c>
      <c r="U186" s="111">
        <v>0</v>
      </c>
      <c r="V186" s="111" t="s">
        <v>1550</v>
      </c>
    </row>
    <row r="187" spans="1:22" ht="15.6">
      <c r="A187" s="110" t="s">
        <v>596</v>
      </c>
      <c r="B187" s="110" t="s">
        <v>597</v>
      </c>
      <c r="C187" s="110" t="s">
        <v>119</v>
      </c>
      <c r="D187" s="110" t="s">
        <v>121</v>
      </c>
      <c r="E187" s="109">
        <v>718.49</v>
      </c>
      <c r="F187" s="109">
        <v>1.3761161596581299E-4</v>
      </c>
      <c r="G187" s="109">
        <v>3.5876095806521696E-4</v>
      </c>
      <c r="H187" s="109">
        <v>1.55541761953209E-3</v>
      </c>
      <c r="I187" s="109">
        <v>6.6920131999566605E-4</v>
      </c>
      <c r="J187" s="109">
        <v>5.6519811258833701E-3</v>
      </c>
      <c r="K187" s="109">
        <v>9.1205041908583697E-4</v>
      </c>
      <c r="L187" s="109">
        <v>1.78876914812689E-3</v>
      </c>
      <c r="M187" s="109">
        <v>1.78876914812689E-3</v>
      </c>
      <c r="N187" s="108">
        <v>4.10840753110406E-4</v>
      </c>
      <c r="O187" s="108">
        <v>1.70245239937844E-3</v>
      </c>
      <c r="P187" s="108">
        <v>6.6705105140905507E-3</v>
      </c>
      <c r="Q187" s="108">
        <v>1.3457694220518901E-3</v>
      </c>
      <c r="R187" s="108">
        <v>1.20767170270359E-3</v>
      </c>
      <c r="S187" s="108">
        <v>3.4687565263029001E-3</v>
      </c>
      <c r="T187" s="108">
        <v>5.2710996588894599E-3</v>
      </c>
      <c r="U187" s="108">
        <v>2.6250500375355E-2</v>
      </c>
      <c r="V187" s="108">
        <v>3.0185080164961599E-2</v>
      </c>
    </row>
    <row r="188" spans="1:22" ht="15.6">
      <c r="A188" s="110" t="s">
        <v>632</v>
      </c>
      <c r="B188" s="110" t="s">
        <v>633</v>
      </c>
      <c r="C188" s="110" t="s">
        <v>117</v>
      </c>
      <c r="D188" s="110" t="s">
        <v>319</v>
      </c>
      <c r="E188" s="109">
        <v>0</v>
      </c>
      <c r="F188" s="109">
        <v>1.50136494570558E-4</v>
      </c>
      <c r="G188" s="109">
        <v>3.4026656244578497E-4</v>
      </c>
      <c r="H188" s="109">
        <v>1.0838995751791601E-3</v>
      </c>
      <c r="I188" s="109">
        <v>2.6726903655162701E-4</v>
      </c>
      <c r="J188" s="109">
        <v>6.5042829754342595E-3</v>
      </c>
      <c r="K188" s="109">
        <v>4.6988149494088603E-4</v>
      </c>
      <c r="L188" s="109">
        <v>2.1796750473992298E-3</v>
      </c>
      <c r="M188" s="109">
        <v>2.1796750473992298E-3</v>
      </c>
      <c r="N188" s="108">
        <v>6.4873868235855101E-4</v>
      </c>
      <c r="O188" s="108">
        <v>2.8465957459249502E-3</v>
      </c>
      <c r="P188" s="108">
        <v>1.6818236253310301E-3</v>
      </c>
      <c r="Q188" s="108">
        <v>1.04344087781236E-3</v>
      </c>
      <c r="R188" s="108">
        <v>3.9473392561987803E-3</v>
      </c>
      <c r="S188" s="108">
        <v>3.2228023853754202E-3</v>
      </c>
      <c r="T188" s="108">
        <v>1.4534541037101402E-2</v>
      </c>
      <c r="U188" s="108">
        <v>3.3451393001714402E-2</v>
      </c>
      <c r="V188" s="108">
        <v>2.7556398064085202E-2</v>
      </c>
    </row>
    <row r="189" spans="1:22" ht="15.6">
      <c r="A189" s="110" t="s">
        <v>771</v>
      </c>
      <c r="B189" s="110" t="s">
        <v>772</v>
      </c>
      <c r="C189" s="110" t="s">
        <v>116</v>
      </c>
      <c r="D189" s="110" t="s">
        <v>121</v>
      </c>
      <c r="E189" s="109">
        <v>0</v>
      </c>
      <c r="F189" s="109" t="s">
        <v>1550</v>
      </c>
      <c r="G189" s="109" t="s">
        <v>1550</v>
      </c>
      <c r="H189" s="109" t="s">
        <v>1550</v>
      </c>
      <c r="I189" s="109" t="s">
        <v>1550</v>
      </c>
      <c r="J189" s="109" t="s">
        <v>1550</v>
      </c>
      <c r="K189" s="109" t="s">
        <v>1550</v>
      </c>
      <c r="L189" s="109" t="s">
        <v>1550</v>
      </c>
      <c r="M189" s="109">
        <v>1.5445864557301757E-3</v>
      </c>
      <c r="N189" s="111">
        <v>0</v>
      </c>
      <c r="O189" s="111">
        <v>0</v>
      </c>
      <c r="P189" s="111">
        <v>0</v>
      </c>
      <c r="Q189" s="111">
        <v>0</v>
      </c>
      <c r="R189" s="111">
        <v>0</v>
      </c>
      <c r="S189" s="111">
        <v>0</v>
      </c>
      <c r="T189" s="111">
        <v>0</v>
      </c>
      <c r="U189" s="111">
        <v>0</v>
      </c>
      <c r="V189" s="111" t="s">
        <v>1550</v>
      </c>
    </row>
    <row r="190" spans="1:22" ht="15.6">
      <c r="A190" s="110" t="s">
        <v>382</v>
      </c>
      <c r="B190" s="110" t="s">
        <v>383</v>
      </c>
      <c r="C190" s="110" t="s">
        <v>119</v>
      </c>
      <c r="D190" s="110" t="s">
        <v>319</v>
      </c>
      <c r="E190" s="109">
        <v>35.630000000000003</v>
      </c>
      <c r="F190" s="109">
        <v>4.8000081716333097E-2</v>
      </c>
      <c r="G190" s="109">
        <v>9.7907516356331797E-2</v>
      </c>
      <c r="H190" s="109">
        <v>0.12961991074412002</v>
      </c>
      <c r="I190" s="109">
        <v>1.8912851714956699E-2</v>
      </c>
      <c r="J190" s="109">
        <v>4.8421379951509406E-3</v>
      </c>
      <c r="K190" s="109">
        <v>4.4451730620252597E-4</v>
      </c>
      <c r="L190" s="109">
        <v>2.5629511909428799E-3</v>
      </c>
      <c r="M190" s="109">
        <v>2.5629511909428799E-3</v>
      </c>
      <c r="N190" s="108">
        <v>3.8758553602391901E-4</v>
      </c>
      <c r="O190" s="108">
        <v>9.2307741997001505E-4</v>
      </c>
      <c r="P190" s="108">
        <v>1.2953374408640498E-3</v>
      </c>
      <c r="Q190" s="108">
        <v>4.06683031434484E-4</v>
      </c>
      <c r="R190" s="108">
        <v>3.7093545036827102E-4</v>
      </c>
      <c r="S190" s="108">
        <v>1.7262351885577701E-3</v>
      </c>
      <c r="T190" s="108">
        <v>2.5844131284217297E-3</v>
      </c>
      <c r="U190" s="108">
        <v>9.5867266039768011E-3</v>
      </c>
      <c r="V190" s="108">
        <v>5.65220411835565E-3</v>
      </c>
    </row>
    <row r="191" spans="1:22" ht="15.6">
      <c r="A191" s="110" t="s">
        <v>644</v>
      </c>
      <c r="B191" s="110" t="s">
        <v>645</v>
      </c>
      <c r="C191" s="110" t="s">
        <v>119</v>
      </c>
      <c r="D191" s="110" t="s">
        <v>319</v>
      </c>
      <c r="E191" s="109">
        <v>54.15</v>
      </c>
      <c r="F191" s="109">
        <v>1.79279273756307E-2</v>
      </c>
      <c r="G191" s="109">
        <v>3.4111194587908296E-2</v>
      </c>
      <c r="H191" s="109">
        <v>4.8495973322955098E-2</v>
      </c>
      <c r="I191" s="109">
        <v>5.8423133940423699E-3</v>
      </c>
      <c r="J191" s="109">
        <v>2.7258950765297E-3</v>
      </c>
      <c r="K191" s="109">
        <v>6.1528199374833695E-4</v>
      </c>
      <c r="L191" s="109">
        <v>2.7904400845409402E-3</v>
      </c>
      <c r="M191" s="109">
        <v>2.7904400845409402E-3</v>
      </c>
      <c r="N191" s="108">
        <v>5.5686813264372193E-4</v>
      </c>
      <c r="O191" s="108">
        <v>5.8263101314968101E-4</v>
      </c>
      <c r="P191" s="108">
        <v>1.7504023037915499E-3</v>
      </c>
      <c r="Q191" s="108">
        <v>4.28477084160287E-4</v>
      </c>
      <c r="R191" s="108">
        <v>5.7868024998595699E-4</v>
      </c>
      <c r="S191" s="108">
        <v>2.32480953089998E-3</v>
      </c>
      <c r="T191" s="108">
        <v>2.46946934306098E-3</v>
      </c>
      <c r="U191" s="108">
        <v>1.2011505386855199E-2</v>
      </c>
      <c r="V191" s="108">
        <v>9.0957266303102191E-3</v>
      </c>
    </row>
    <row r="192" spans="1:22" ht="15.6">
      <c r="A192" s="110" t="s">
        <v>640</v>
      </c>
      <c r="B192" s="110" t="s">
        <v>641</v>
      </c>
      <c r="C192" s="110" t="s">
        <v>114</v>
      </c>
      <c r="D192" s="110" t="s">
        <v>322</v>
      </c>
      <c r="E192" s="109">
        <v>364.37</v>
      </c>
      <c r="F192" s="109">
        <v>3.4209871565248496E-4</v>
      </c>
      <c r="G192" s="109">
        <v>1.2272236574602201E-4</v>
      </c>
      <c r="H192" s="109">
        <v>2.3656760126287697E-3</v>
      </c>
      <c r="I192" s="109">
        <v>6.4294544219330499E-4</v>
      </c>
      <c r="J192" s="109">
        <v>3.7430760986777701E-3</v>
      </c>
      <c r="K192" s="109">
        <v>1.3076355010233499E-3</v>
      </c>
      <c r="L192" s="109">
        <v>3.4272832663672899E-3</v>
      </c>
      <c r="M192" s="109">
        <v>3.4272832663672899E-3</v>
      </c>
      <c r="N192" s="108">
        <v>2.9463218810594301E-4</v>
      </c>
      <c r="O192" s="108">
        <v>1.9787523886870299E-3</v>
      </c>
      <c r="P192" s="108">
        <v>5.2177341250738696E-3</v>
      </c>
      <c r="Q192" s="108">
        <v>7.1046290528734804E-4</v>
      </c>
      <c r="R192" s="108">
        <v>6.62159734796346E-4</v>
      </c>
      <c r="S192" s="108">
        <v>2.3377696308570402E-3</v>
      </c>
      <c r="T192" s="108">
        <v>2.9511646976897498E-3</v>
      </c>
      <c r="U192" s="108">
        <v>1.85229023982518E-2</v>
      </c>
      <c r="V192" s="108">
        <v>2.4271780834449801E-2</v>
      </c>
    </row>
    <row r="193" spans="1:22" ht="15.6">
      <c r="A193" s="110" t="s">
        <v>636</v>
      </c>
      <c r="B193" s="110" t="s">
        <v>637</v>
      </c>
      <c r="C193" s="110" t="s">
        <v>115</v>
      </c>
      <c r="D193" s="110" t="s">
        <v>325</v>
      </c>
      <c r="E193" s="109">
        <v>73.430000000000007</v>
      </c>
      <c r="F193" s="109">
        <v>9.7024955471422102E-4</v>
      </c>
      <c r="G193" s="109">
        <v>4.98256623015379E-3</v>
      </c>
      <c r="H193" s="109">
        <v>5.8956342696747195E-3</v>
      </c>
      <c r="I193" s="109">
        <v>1.6727193008011301E-3</v>
      </c>
      <c r="J193" s="109">
        <v>5.9372372849584801E-3</v>
      </c>
      <c r="K193" s="109">
        <v>3.5810485062910403E-4</v>
      </c>
      <c r="L193" s="109">
        <v>1.97053507297123E-3</v>
      </c>
      <c r="M193" s="109">
        <v>1.97053507297123E-3</v>
      </c>
      <c r="N193" s="108">
        <v>1.3692649706363699E-3</v>
      </c>
      <c r="O193" s="108">
        <v>1.9293451799852702E-3</v>
      </c>
      <c r="P193" s="108">
        <v>4.0174237725519703E-3</v>
      </c>
      <c r="Q193" s="108">
        <v>1.10873066406043E-3</v>
      </c>
      <c r="R193" s="108">
        <v>2.0368024349819002E-3</v>
      </c>
      <c r="S193" s="108">
        <v>4.9940547576531405E-4</v>
      </c>
      <c r="T193" s="108">
        <v>9.3377798697780196E-3</v>
      </c>
      <c r="U193" s="108">
        <v>2.8525165643363198E-2</v>
      </c>
      <c r="V193" s="108">
        <v>1.50691150061248E-2</v>
      </c>
    </row>
    <row r="194" spans="1:22" ht="15.6">
      <c r="A194" s="110" t="s">
        <v>654</v>
      </c>
      <c r="B194" s="110" t="s">
        <v>655</v>
      </c>
      <c r="C194" s="110" t="s">
        <v>115</v>
      </c>
      <c r="D194" s="110" t="s">
        <v>322</v>
      </c>
      <c r="E194" s="109">
        <v>565.26</v>
      </c>
      <c r="F194" s="109">
        <v>1.72810622409567E-4</v>
      </c>
      <c r="G194" s="109">
        <v>1.12254996298636E-3</v>
      </c>
      <c r="H194" s="109">
        <v>1.4744747989905501E-3</v>
      </c>
      <c r="I194" s="109">
        <v>8.518369050457029E-4</v>
      </c>
      <c r="J194" s="109">
        <v>1.04621622869462E-2</v>
      </c>
      <c r="K194" s="109">
        <v>2.4791128929135402E-4</v>
      </c>
      <c r="L194" s="109">
        <v>1.6958374096670802E-3</v>
      </c>
      <c r="M194" s="109">
        <v>1.6958374096670802E-3</v>
      </c>
      <c r="N194" s="108">
        <v>2.82191018879809E-3</v>
      </c>
      <c r="O194" s="108">
        <v>1.06404427039445E-2</v>
      </c>
      <c r="P194" s="108">
        <v>6.3911700517147304E-3</v>
      </c>
      <c r="Q194" s="108">
        <v>1.46200227740733E-3</v>
      </c>
      <c r="R194" s="108">
        <v>3.04943277114458E-3</v>
      </c>
      <c r="S194" s="108">
        <v>2.1186992057363501E-4</v>
      </c>
      <c r="T194" s="108">
        <v>1.44623519752641E-2</v>
      </c>
      <c r="U194" s="108">
        <v>4.6190221098416397E-2</v>
      </c>
      <c r="V194" s="108">
        <v>2.6411909459932898E-2</v>
      </c>
    </row>
    <row r="195" spans="1:22" ht="15.6">
      <c r="A195" s="110" t="s">
        <v>642</v>
      </c>
      <c r="B195" s="110" t="s">
        <v>643</v>
      </c>
      <c r="C195" s="110" t="s">
        <v>114</v>
      </c>
      <c r="D195" s="110" t="s">
        <v>325</v>
      </c>
      <c r="E195" s="109">
        <v>135</v>
      </c>
      <c r="F195" s="109">
        <v>9.5741194991013701E-4</v>
      </c>
      <c r="G195" s="109">
        <v>5.5572623386075199E-3</v>
      </c>
      <c r="H195" s="109">
        <v>7.2871638816292003E-3</v>
      </c>
      <c r="I195" s="109">
        <v>1.39583520542447E-3</v>
      </c>
      <c r="J195" s="109">
        <v>5.2930208513032005E-3</v>
      </c>
      <c r="K195" s="109">
        <v>1.05795436396863E-3</v>
      </c>
      <c r="L195" s="109">
        <v>2.3556330170431601E-3</v>
      </c>
      <c r="M195" s="109">
        <v>2.3556330170431601E-3</v>
      </c>
      <c r="N195" s="108">
        <v>1.79277682693662E-4</v>
      </c>
      <c r="O195" s="108">
        <v>1.4411453265103799E-3</v>
      </c>
      <c r="P195" s="108">
        <v>6.20840576251334E-3</v>
      </c>
      <c r="Q195" s="108">
        <v>7.3393258682177408E-4</v>
      </c>
      <c r="R195" s="108">
        <v>8.48489599185462E-4</v>
      </c>
      <c r="S195" s="108">
        <v>3.2839812281174399E-3</v>
      </c>
      <c r="T195" s="108">
        <v>2.9837526559673803E-3</v>
      </c>
      <c r="U195" s="108">
        <v>2.0810788832581403E-2</v>
      </c>
      <c r="V195" s="108">
        <v>1.8831706770173099E-2</v>
      </c>
    </row>
    <row r="196" spans="1:22" ht="15.6">
      <c r="A196" s="110" t="s">
        <v>646</v>
      </c>
      <c r="B196" s="110" t="s">
        <v>647</v>
      </c>
      <c r="C196" s="110" t="s">
        <v>114</v>
      </c>
      <c r="D196" s="110" t="s">
        <v>322</v>
      </c>
      <c r="E196" s="109">
        <v>279.25</v>
      </c>
      <c r="F196" s="109">
        <v>1.47270518528653E-4</v>
      </c>
      <c r="G196" s="109">
        <v>6.8293674404647806E-4</v>
      </c>
      <c r="H196" s="109">
        <v>1.9695405410024903E-3</v>
      </c>
      <c r="I196" s="109">
        <v>3.0724983596557199E-4</v>
      </c>
      <c r="J196" s="109">
        <v>7.2916998840758798E-3</v>
      </c>
      <c r="K196" s="109">
        <v>7.0820152933398907E-4</v>
      </c>
      <c r="L196" s="109">
        <v>1.3452654317762098E-3</v>
      </c>
      <c r="M196" s="109">
        <v>1.3452654317762098E-3</v>
      </c>
      <c r="N196" s="108">
        <v>7.3454221685208298E-4</v>
      </c>
      <c r="O196" s="108">
        <v>3.1443276484629202E-3</v>
      </c>
      <c r="P196" s="108">
        <v>4.0509319691498201E-3</v>
      </c>
      <c r="Q196" s="108">
        <v>9.0536570568190602E-4</v>
      </c>
      <c r="R196" s="108">
        <v>1.19343889866877E-3</v>
      </c>
      <c r="S196" s="108">
        <v>3.1247561344303898E-3</v>
      </c>
      <c r="T196" s="108">
        <v>6.0553331241017102E-3</v>
      </c>
      <c r="U196" s="108">
        <v>2.3263032630415199E-2</v>
      </c>
      <c r="V196" s="108">
        <v>2.5633637739802199E-2</v>
      </c>
    </row>
    <row r="197" spans="1:22" ht="15.6">
      <c r="A197" s="110" t="s">
        <v>648</v>
      </c>
      <c r="B197" s="110" t="s">
        <v>649</v>
      </c>
      <c r="C197" s="110" t="s">
        <v>116</v>
      </c>
      <c r="D197" s="110" t="s">
        <v>121</v>
      </c>
      <c r="E197" s="109">
        <v>1125.4000000000001</v>
      </c>
      <c r="F197" s="109">
        <v>1.9592266619810201E-4</v>
      </c>
      <c r="G197" s="109">
        <v>3.3064139506172401E-4</v>
      </c>
      <c r="H197" s="109">
        <v>1.2503495663494699E-3</v>
      </c>
      <c r="I197" s="109">
        <v>3.0584832647240402E-4</v>
      </c>
      <c r="J197" s="109">
        <v>6.0171553033203495E-3</v>
      </c>
      <c r="K197" s="109">
        <v>4.0779330488526801E-4</v>
      </c>
      <c r="L197" s="109">
        <v>3.3170493165167897E-4</v>
      </c>
      <c r="M197" s="109">
        <v>3.3170493165167897E-4</v>
      </c>
      <c r="N197" s="108">
        <v>1.94068506997232E-3</v>
      </c>
      <c r="O197" s="108">
        <v>3.3793427033453499E-3</v>
      </c>
      <c r="P197" s="108">
        <v>3.3275604018623501E-3</v>
      </c>
      <c r="Q197" s="108">
        <v>2.3874308617863301E-3</v>
      </c>
      <c r="R197" s="108">
        <v>1.6770191531091502E-3</v>
      </c>
      <c r="S197" s="108">
        <v>3.6428879896962503E-3</v>
      </c>
      <c r="T197" s="108">
        <v>1.0174230397835E-2</v>
      </c>
      <c r="U197" s="108">
        <v>3.3728660054455399E-2</v>
      </c>
      <c r="V197" s="108">
        <v>2.1483255042499299E-2</v>
      </c>
    </row>
    <row r="198" spans="1:22" ht="15.6">
      <c r="A198" s="110" t="s">
        <v>650</v>
      </c>
      <c r="B198" s="110" t="s">
        <v>651</v>
      </c>
      <c r="C198" s="110" t="s">
        <v>117</v>
      </c>
      <c r="D198" s="110" t="s">
        <v>325</v>
      </c>
      <c r="E198" s="109">
        <v>265.45999999999998</v>
      </c>
      <c r="F198" s="109">
        <v>1.70209797008137E-4</v>
      </c>
      <c r="G198" s="109">
        <v>4.1857492209218397E-4</v>
      </c>
      <c r="H198" s="109">
        <v>1.19225197631289E-3</v>
      </c>
      <c r="I198" s="109">
        <v>2.0492123200789201E-4</v>
      </c>
      <c r="J198" s="109">
        <v>5.8259962023447494E-3</v>
      </c>
      <c r="K198" s="109">
        <v>5.6953767293571806E-4</v>
      </c>
      <c r="L198" s="109">
        <v>1.80667587247185E-3</v>
      </c>
      <c r="M198" s="109">
        <v>1.80667587247185E-3</v>
      </c>
      <c r="N198" s="108">
        <v>6.4303935267770993E-4</v>
      </c>
      <c r="O198" s="108">
        <v>2.0682410441186703E-3</v>
      </c>
      <c r="P198" s="108">
        <v>1.3668373765011199E-3</v>
      </c>
      <c r="Q198" s="108">
        <v>1.0142330136080401E-3</v>
      </c>
      <c r="R198" s="108">
        <v>1.54639259515599E-3</v>
      </c>
      <c r="S198" s="108">
        <v>4.8637839245272601E-4</v>
      </c>
      <c r="T198" s="108">
        <v>1.0166954193584399E-2</v>
      </c>
      <c r="U198" s="108">
        <v>2.1873454430605004E-2</v>
      </c>
      <c r="V198" s="108">
        <v>2.5596016203140799E-2</v>
      </c>
    </row>
    <row r="199" spans="1:22" ht="15.6">
      <c r="A199" s="110" t="s">
        <v>652</v>
      </c>
      <c r="B199" s="110" t="s">
        <v>653</v>
      </c>
      <c r="C199" s="110" t="s">
        <v>115</v>
      </c>
      <c r="D199" s="110" t="s">
        <v>322</v>
      </c>
      <c r="E199" s="109">
        <v>441.06</v>
      </c>
      <c r="F199" s="109">
        <v>1.8697110958409201E-4</v>
      </c>
      <c r="G199" s="109">
        <v>3.0454795182398498E-4</v>
      </c>
      <c r="H199" s="109">
        <v>1.3201147197688498E-3</v>
      </c>
      <c r="I199" s="109">
        <v>2.1920301659150501E-4</v>
      </c>
      <c r="J199" s="109">
        <v>4.6499838630278002E-3</v>
      </c>
      <c r="K199" s="109">
        <v>1.2562055920307201E-3</v>
      </c>
      <c r="L199" s="109">
        <v>3.1524044065513301E-3</v>
      </c>
      <c r="M199" s="109">
        <v>3.1524044065513301E-3</v>
      </c>
      <c r="N199" s="108">
        <v>5.1763616628269402E-4</v>
      </c>
      <c r="O199" s="108">
        <v>1.68986938426009E-3</v>
      </c>
      <c r="P199" s="108">
        <v>7.4322744149848399E-4</v>
      </c>
      <c r="Q199" s="108">
        <v>7.9153244557821697E-4</v>
      </c>
      <c r="R199" s="108">
        <v>9.2479091047951599E-4</v>
      </c>
      <c r="S199" s="108">
        <v>7.3239476012607106E-5</v>
      </c>
      <c r="T199" s="108">
        <v>7.7277485264750203E-3</v>
      </c>
      <c r="U199" s="108">
        <v>1.35220282020115E-2</v>
      </c>
      <c r="V199" s="108">
        <v>3.1005357537833702E-2</v>
      </c>
    </row>
    <row r="200" spans="1:22" ht="15.6">
      <c r="A200" s="110" t="s">
        <v>775</v>
      </c>
      <c r="B200" s="110" t="s">
        <v>776</v>
      </c>
      <c r="C200" s="110" t="s">
        <v>114</v>
      </c>
      <c r="D200" s="110" t="s">
        <v>322</v>
      </c>
      <c r="E200" s="109">
        <v>1070.96</v>
      </c>
      <c r="F200" s="109">
        <v>2.8274376282826899E-4</v>
      </c>
      <c r="G200" s="109">
        <v>1.40602751719035E-3</v>
      </c>
      <c r="H200" s="109">
        <v>3.4613193868602799E-3</v>
      </c>
      <c r="I200" s="109">
        <v>4.8272334448278697E-4</v>
      </c>
      <c r="J200" s="109">
        <v>1.2959177795860201E-2</v>
      </c>
      <c r="K200" s="109">
        <v>1.33721285810381E-3</v>
      </c>
      <c r="L200" s="109">
        <v>2.1212207886105198E-3</v>
      </c>
      <c r="M200" s="109">
        <v>2.1212207886105198E-3</v>
      </c>
      <c r="N200" s="108">
        <v>1.1379671070345699E-3</v>
      </c>
      <c r="O200" s="108">
        <v>6.0455222048369896E-3</v>
      </c>
      <c r="P200" s="108">
        <v>8.0547132718103709E-3</v>
      </c>
      <c r="Q200" s="108">
        <v>1.6566610163263498E-3</v>
      </c>
      <c r="R200" s="108">
        <v>2.80488960958644E-3</v>
      </c>
      <c r="S200" s="108">
        <v>7.9324625055705311E-3</v>
      </c>
      <c r="T200" s="108">
        <v>1.29366006948048E-2</v>
      </c>
      <c r="U200" s="108">
        <v>4.91494484663689E-2</v>
      </c>
      <c r="V200" s="108">
        <v>4.3899435401866103E-2</v>
      </c>
    </row>
    <row r="201" spans="1:22" ht="15.6">
      <c r="A201" s="110" t="s">
        <v>777</v>
      </c>
      <c r="B201" s="110" t="s">
        <v>635</v>
      </c>
      <c r="C201" s="110" t="s">
        <v>114</v>
      </c>
      <c r="D201" s="110" t="s">
        <v>121</v>
      </c>
      <c r="E201" s="109">
        <v>0</v>
      </c>
      <c r="F201" s="109">
        <v>3.4918063558225103E-5</v>
      </c>
      <c r="G201" s="109">
        <v>8.0390326156063198E-5</v>
      </c>
      <c r="H201" s="109">
        <v>3.2284448608425003E-4</v>
      </c>
      <c r="I201" s="109">
        <v>1.3893486573336199E-4</v>
      </c>
      <c r="J201" s="109">
        <v>4.6780011865656902E-3</v>
      </c>
      <c r="K201" s="109">
        <v>9.6172004636730095E-4</v>
      </c>
      <c r="L201" s="109">
        <v>1.2254342649850101E-3</v>
      </c>
      <c r="M201" s="109">
        <v>1.2254342649850101E-3</v>
      </c>
      <c r="N201" s="108">
        <v>1.20975969360044E-3</v>
      </c>
      <c r="O201" s="108">
        <v>5.6479317743555104E-3</v>
      </c>
      <c r="P201" s="108">
        <v>3.9391496891901696E-3</v>
      </c>
      <c r="Q201" s="108">
        <v>5.5790709227728397E-4</v>
      </c>
      <c r="R201" s="108">
        <v>6.6527221640236408E-4</v>
      </c>
      <c r="S201" s="108">
        <v>5.4324337773767903E-4</v>
      </c>
      <c r="T201" s="108">
        <v>4.8656861726961197E-3</v>
      </c>
      <c r="U201" s="108">
        <v>1.9638382611824601E-2</v>
      </c>
      <c r="V201" s="108">
        <v>2.9077608945973998E-2</v>
      </c>
    </row>
    <row r="202" spans="1:22" ht="15.6">
      <c r="A202" s="110" t="s">
        <v>638</v>
      </c>
      <c r="B202" s="110" t="s">
        <v>639</v>
      </c>
      <c r="C202" s="110" t="s">
        <v>119</v>
      </c>
      <c r="D202" s="110" t="s">
        <v>325</v>
      </c>
      <c r="E202" s="109">
        <v>37.159999999999997</v>
      </c>
      <c r="F202" s="109">
        <v>4.8118271679004699E-3</v>
      </c>
      <c r="G202" s="109">
        <v>8.9259469631151004E-3</v>
      </c>
      <c r="H202" s="109">
        <v>1.24127440888906E-2</v>
      </c>
      <c r="I202" s="109">
        <v>7.7163349117108206E-3</v>
      </c>
      <c r="J202" s="109">
        <v>3.0934524117506102E-3</v>
      </c>
      <c r="K202" s="109">
        <v>4.5955907155025103E-4</v>
      </c>
      <c r="L202" s="109">
        <v>3.7983772641737197E-3</v>
      </c>
      <c r="M202" s="109">
        <v>3.7983772641737197E-3</v>
      </c>
      <c r="N202" s="108">
        <v>3.1278482952794301E-4</v>
      </c>
      <c r="O202" s="108">
        <v>6.2537301854833499E-4</v>
      </c>
      <c r="P202" s="108">
        <v>3.1795626932461401E-3</v>
      </c>
      <c r="Q202" s="108">
        <v>2.1808156582198E-4</v>
      </c>
      <c r="R202" s="108">
        <v>3.4921059871151502E-4</v>
      </c>
      <c r="S202" s="108">
        <v>1.45302978442604E-3</v>
      </c>
      <c r="T202" s="108">
        <v>1.34806069896959E-3</v>
      </c>
      <c r="U202" s="108">
        <v>8.7631155385845799E-3</v>
      </c>
      <c r="V202" s="108">
        <v>9.7768700441516095E-3</v>
      </c>
    </row>
    <row r="203" spans="1:22" ht="15.6">
      <c r="A203" s="110" t="s">
        <v>656</v>
      </c>
      <c r="B203" s="110" t="s">
        <v>657</v>
      </c>
      <c r="C203" s="110" t="s">
        <v>119</v>
      </c>
      <c r="D203" s="110" t="s">
        <v>319</v>
      </c>
      <c r="E203" s="109">
        <v>43.45</v>
      </c>
      <c r="F203" s="109">
        <v>5.6615781877452E-3</v>
      </c>
      <c r="G203" s="109">
        <v>1.1130733091614199E-2</v>
      </c>
      <c r="H203" s="109">
        <v>1.4877676006165901E-2</v>
      </c>
      <c r="I203" s="109">
        <v>4.8389305383590899E-3</v>
      </c>
      <c r="J203" s="109">
        <v>1.36483583344394E-3</v>
      </c>
      <c r="K203" s="109">
        <v>4.7080786647785502E-4</v>
      </c>
      <c r="L203" s="109">
        <v>3.4216754273283601E-3</v>
      </c>
      <c r="M203" s="109">
        <v>3.4216754273283601E-3</v>
      </c>
      <c r="N203" s="108">
        <v>2.7098756175714496E-4</v>
      </c>
      <c r="O203" s="108">
        <v>6.3341767938457599E-4</v>
      </c>
      <c r="P203" s="108">
        <v>1.6447907247510698E-3</v>
      </c>
      <c r="Q203" s="108">
        <v>1.8865892373408301E-4</v>
      </c>
      <c r="R203" s="108">
        <v>2.70741137626292E-4</v>
      </c>
      <c r="S203" s="108">
        <v>1.3378963357295898E-3</v>
      </c>
      <c r="T203" s="108">
        <v>1.2763161835043998E-3</v>
      </c>
      <c r="U203" s="108">
        <v>6.0265492068707601E-3</v>
      </c>
      <c r="V203" s="108">
        <v>4.7217920122789398E-3</v>
      </c>
    </row>
    <row r="204" spans="1:22" ht="15.6">
      <c r="A204" s="110" t="s">
        <v>658</v>
      </c>
      <c r="B204" s="110" t="s">
        <v>659</v>
      </c>
      <c r="C204" s="110" t="s">
        <v>115</v>
      </c>
      <c r="D204" s="110" t="s">
        <v>325</v>
      </c>
      <c r="E204" s="109">
        <v>367.98</v>
      </c>
      <c r="F204" s="109">
        <v>6.7457649471847493E-5</v>
      </c>
      <c r="G204" s="109">
        <v>5.1867953033442609E-4</v>
      </c>
      <c r="H204" s="109">
        <v>7.37394534524129E-4</v>
      </c>
      <c r="I204" s="109">
        <v>2.0784382493971201E-4</v>
      </c>
      <c r="J204" s="109">
        <v>8.6734633946694388E-3</v>
      </c>
      <c r="K204" s="109">
        <v>7.2673131344271297E-4</v>
      </c>
      <c r="L204" s="109">
        <v>2.1338787142878898E-3</v>
      </c>
      <c r="M204" s="109">
        <v>2.1338787142878898E-3</v>
      </c>
      <c r="N204" s="108">
        <v>3.3809216527768199E-3</v>
      </c>
      <c r="O204" s="108">
        <v>9.0478414737698697E-3</v>
      </c>
      <c r="P204" s="108">
        <v>6.5824819514573906E-3</v>
      </c>
      <c r="Q204" s="108">
        <v>2.2619656422219699E-3</v>
      </c>
      <c r="R204" s="108">
        <v>5.6805736270990302E-3</v>
      </c>
      <c r="S204" s="108">
        <v>2.1048399071239301E-3</v>
      </c>
      <c r="T204" s="108">
        <v>2.8458493110383003E-2</v>
      </c>
      <c r="U204" s="108">
        <v>8.4826861024762806E-2</v>
      </c>
      <c r="V204" s="108">
        <v>7.2152908531656804E-2</v>
      </c>
    </row>
    <row r="205" spans="1:22" ht="15.6">
      <c r="A205" s="110" t="s">
        <v>666</v>
      </c>
      <c r="B205" s="110" t="s">
        <v>667</v>
      </c>
      <c r="C205" s="110" t="s">
        <v>116</v>
      </c>
      <c r="D205" s="110" t="s">
        <v>121</v>
      </c>
      <c r="E205" s="109">
        <v>1620.33</v>
      </c>
      <c r="F205" s="109">
        <v>5.7209842981703695E-5</v>
      </c>
      <c r="G205" s="109">
        <v>6.1842073293639409E-5</v>
      </c>
      <c r="H205" s="109">
        <v>5.3443429075662003E-4</v>
      </c>
      <c r="I205" s="109">
        <v>1.5065148151777099E-4</v>
      </c>
      <c r="J205" s="109">
        <v>4.7078285781001102E-3</v>
      </c>
      <c r="K205" s="109">
        <v>1.3039745562498999E-3</v>
      </c>
      <c r="L205" s="109">
        <v>3.2628780494880602E-3</v>
      </c>
      <c r="M205" s="109">
        <v>3.2628780494880602E-3</v>
      </c>
      <c r="N205" s="108">
        <v>2.15410587056133E-3</v>
      </c>
      <c r="O205" s="108">
        <v>5.9584968881837303E-3</v>
      </c>
      <c r="P205" s="108">
        <v>3.8581406578135197E-3</v>
      </c>
      <c r="Q205" s="108">
        <v>1.2385393589071599E-3</v>
      </c>
      <c r="R205" s="108">
        <v>8.6790445329243101E-4</v>
      </c>
      <c r="S205" s="108">
        <v>2.1690472752564599E-3</v>
      </c>
      <c r="T205" s="108">
        <v>6.24802195990635E-3</v>
      </c>
      <c r="U205" s="108">
        <v>2.4991209995784303E-2</v>
      </c>
      <c r="V205" s="108">
        <v>3.6204121217485598E-2</v>
      </c>
    </row>
    <row r="206" spans="1:22" ht="15.6">
      <c r="A206" s="110" t="s">
        <v>664</v>
      </c>
      <c r="B206" s="110" t="s">
        <v>665</v>
      </c>
      <c r="C206" s="110" t="s">
        <v>120</v>
      </c>
      <c r="D206" s="110" t="s">
        <v>121</v>
      </c>
      <c r="E206" s="109">
        <v>12012.24</v>
      </c>
      <c r="F206" s="109">
        <v>2.1356007979727498E-5</v>
      </c>
      <c r="G206" s="109">
        <v>7.9794708549723304E-5</v>
      </c>
      <c r="H206" s="109">
        <v>4.4221737726580903E-5</v>
      </c>
      <c r="I206" s="109">
        <v>3.66792504781508E-5</v>
      </c>
      <c r="J206" s="109">
        <v>3.0856643749552003E-3</v>
      </c>
      <c r="K206" s="109">
        <v>1.51906196242548E-3</v>
      </c>
      <c r="L206" s="109">
        <v>1.8943683797386002E-3</v>
      </c>
      <c r="M206" s="109">
        <v>1.8943683797386002E-3</v>
      </c>
      <c r="N206" s="108">
        <v>4.3916650514839303E-3</v>
      </c>
      <c r="O206" s="108">
        <v>5.3478231463129199E-3</v>
      </c>
      <c r="P206" s="108">
        <v>3.1952811085459304E-3</v>
      </c>
      <c r="Q206" s="108">
        <v>1.90307478950167E-3</v>
      </c>
      <c r="R206" s="108">
        <v>3.45330883791668E-3</v>
      </c>
      <c r="S206" s="108">
        <v>1.5515499835655701E-3</v>
      </c>
      <c r="T206" s="108">
        <v>6.1588999773372196E-3</v>
      </c>
      <c r="U206" s="108">
        <v>2.7126981316077499E-2</v>
      </c>
      <c r="V206" s="108">
        <v>4.2537349879214495E-2</v>
      </c>
    </row>
    <row r="207" spans="1:22" ht="15.6">
      <c r="A207" s="110" t="s">
        <v>668</v>
      </c>
      <c r="B207" s="110" t="s">
        <v>669</v>
      </c>
      <c r="C207" s="110" t="s">
        <v>115</v>
      </c>
      <c r="D207" s="110" t="s">
        <v>325</v>
      </c>
      <c r="E207" s="109">
        <v>157.19</v>
      </c>
      <c r="F207" s="109">
        <v>1.204526676466E-4</v>
      </c>
      <c r="G207" s="109">
        <v>9.2702371254312597E-4</v>
      </c>
      <c r="H207" s="109">
        <v>8.98048579546071E-4</v>
      </c>
      <c r="I207" s="109">
        <v>1.0269107858534999E-3</v>
      </c>
      <c r="J207" s="109">
        <v>6.5984225381134501E-3</v>
      </c>
      <c r="K207" s="109">
        <v>3.4895294889869299E-4</v>
      </c>
      <c r="L207" s="109">
        <v>2.2235630152600701E-3</v>
      </c>
      <c r="M207" s="109">
        <v>2.2235630152600701E-3</v>
      </c>
      <c r="N207" s="108">
        <v>2.7786181329915202E-3</v>
      </c>
      <c r="O207" s="108">
        <v>6.3437442502590098E-3</v>
      </c>
      <c r="P207" s="108">
        <v>5.6480640549566707E-3</v>
      </c>
      <c r="Q207" s="108">
        <v>1.1477041243138999E-3</v>
      </c>
      <c r="R207" s="108">
        <v>2.4262571287209799E-3</v>
      </c>
      <c r="S207" s="108">
        <v>1.568712612005E-4</v>
      </c>
      <c r="T207" s="108">
        <v>1.5724984961749202E-2</v>
      </c>
      <c r="U207" s="108">
        <v>4.4917778303641201E-2</v>
      </c>
      <c r="V207" s="108">
        <v>2.1245515287468101E-2</v>
      </c>
    </row>
    <row r="208" spans="1:22" ht="15.6">
      <c r="A208" s="110" t="s">
        <v>620</v>
      </c>
      <c r="B208" s="110" t="s">
        <v>621</v>
      </c>
      <c r="C208" s="110" t="s">
        <v>116</v>
      </c>
      <c r="D208" s="110" t="s">
        <v>322</v>
      </c>
      <c r="E208" s="109">
        <v>448.31</v>
      </c>
      <c r="F208" s="109">
        <v>4.0732641957524104E-4</v>
      </c>
      <c r="G208" s="109">
        <v>9.6664011455075598E-4</v>
      </c>
      <c r="H208" s="109">
        <v>2.22494116200311E-3</v>
      </c>
      <c r="I208" s="109">
        <v>6.6360154949653409E-4</v>
      </c>
      <c r="J208" s="109">
        <v>3.8453457518909896E-3</v>
      </c>
      <c r="K208" s="109">
        <v>3.8745973624460499E-4</v>
      </c>
      <c r="L208" s="109">
        <v>4.7671232525876698E-4</v>
      </c>
      <c r="M208" s="109">
        <v>4.7671232525876698E-4</v>
      </c>
      <c r="N208" s="108">
        <v>1.3650318186942201E-3</v>
      </c>
      <c r="O208" s="108">
        <v>3.0886449006383401E-3</v>
      </c>
      <c r="P208" s="108">
        <v>3.2279754333664197E-3</v>
      </c>
      <c r="Q208" s="108">
        <v>1.4443314717889398E-3</v>
      </c>
      <c r="R208" s="108">
        <v>1.35790415658174E-3</v>
      </c>
      <c r="S208" s="108">
        <v>3.3055618635793797E-3</v>
      </c>
      <c r="T208" s="108">
        <v>7.7876337037089396E-3</v>
      </c>
      <c r="U208" s="108">
        <v>2.6609798043617103E-2</v>
      </c>
      <c r="V208" s="108">
        <v>1.5195168649923601E-2</v>
      </c>
    </row>
    <row r="209" spans="1:22" ht="15.6">
      <c r="A209" s="110" t="s">
        <v>672</v>
      </c>
      <c r="B209" s="110" t="s">
        <v>673</v>
      </c>
      <c r="C209" s="110" t="s">
        <v>116</v>
      </c>
      <c r="D209" s="110"/>
      <c r="E209" s="109">
        <v>160.1</v>
      </c>
      <c r="F209" s="109">
        <v>2.9996537905899097E-4</v>
      </c>
      <c r="G209" s="109">
        <v>6.8303063136191994E-4</v>
      </c>
      <c r="H209" s="109">
        <v>1.8083774953197801E-3</v>
      </c>
      <c r="I209" s="109">
        <v>3.3701141152242997E-4</v>
      </c>
      <c r="J209" s="109">
        <v>3.8939967863728204E-3</v>
      </c>
      <c r="K209" s="109">
        <v>5.9528169040334302E-4</v>
      </c>
      <c r="L209" s="109">
        <v>7.7279832260680999E-3</v>
      </c>
      <c r="M209" s="109">
        <v>7.7279832260680999E-3</v>
      </c>
      <c r="N209" s="108">
        <v>1.0595862309387501E-3</v>
      </c>
      <c r="O209" s="108">
        <v>3.2480630031211399E-3</v>
      </c>
      <c r="P209" s="108">
        <v>5.2956375141860303E-3</v>
      </c>
      <c r="Q209" s="108">
        <v>9.0806517399077708E-4</v>
      </c>
      <c r="R209" s="108">
        <v>2.21379757151888E-3</v>
      </c>
      <c r="S209" s="108">
        <v>2.6235823946075998E-3</v>
      </c>
      <c r="T209" s="108">
        <v>4.9713280827967101E-3</v>
      </c>
      <c r="U209" s="108">
        <v>2.55171046877272E-2</v>
      </c>
      <c r="V209" s="108">
        <v>1.6311153017676199E-2</v>
      </c>
    </row>
    <row r="210" spans="1:22" ht="15.6">
      <c r="A210" s="110" t="s">
        <v>720</v>
      </c>
      <c r="B210" s="110" t="s">
        <v>721</v>
      </c>
      <c r="C210" s="110" t="s">
        <v>116</v>
      </c>
      <c r="D210" s="110" t="s">
        <v>121</v>
      </c>
      <c r="E210" s="109">
        <v>0</v>
      </c>
      <c r="F210" s="109" t="s">
        <v>1550</v>
      </c>
      <c r="G210" s="109" t="s">
        <v>1550</v>
      </c>
      <c r="H210" s="109" t="s">
        <v>1550</v>
      </c>
      <c r="I210" s="109" t="s">
        <v>1550</v>
      </c>
      <c r="J210" s="109" t="s">
        <v>1550</v>
      </c>
      <c r="K210" s="109" t="s">
        <v>1550</v>
      </c>
      <c r="L210" s="109" t="s">
        <v>1550</v>
      </c>
      <c r="M210" s="109">
        <v>1.5445864557301757E-3</v>
      </c>
      <c r="N210" s="111">
        <v>0</v>
      </c>
      <c r="O210" s="111">
        <v>0</v>
      </c>
      <c r="P210" s="111">
        <v>0</v>
      </c>
      <c r="Q210" s="111">
        <v>0</v>
      </c>
      <c r="R210" s="111">
        <v>0</v>
      </c>
      <c r="S210" s="111">
        <v>0</v>
      </c>
      <c r="T210" s="111">
        <v>0</v>
      </c>
      <c r="U210" s="111">
        <v>0</v>
      </c>
      <c r="V210" s="111" t="s">
        <v>1550</v>
      </c>
    </row>
    <row r="211" spans="1:22" ht="15.6">
      <c r="A211" s="110" t="s">
        <v>778</v>
      </c>
      <c r="B211" s="110" t="s">
        <v>779</v>
      </c>
      <c r="C211" s="110" t="s">
        <v>116</v>
      </c>
      <c r="D211" s="110" t="s">
        <v>121</v>
      </c>
      <c r="E211" s="109">
        <v>0</v>
      </c>
      <c r="F211" s="109">
        <v>2.2408457917451799E-4</v>
      </c>
      <c r="G211" s="109">
        <v>1.9473453375714399E-4</v>
      </c>
      <c r="H211" s="109">
        <v>1.58476743625105E-3</v>
      </c>
      <c r="I211" s="109">
        <v>2.7801324680342798E-4</v>
      </c>
      <c r="J211" s="109">
        <v>4.8789130258175299E-3</v>
      </c>
      <c r="K211" s="109">
        <v>5.1681785723497803E-4</v>
      </c>
      <c r="L211" s="109">
        <v>2.4853339080012598E-3</v>
      </c>
      <c r="M211" s="109">
        <v>2.4853339080012598E-3</v>
      </c>
      <c r="N211" s="108">
        <v>1.7030132304581202E-3</v>
      </c>
      <c r="O211" s="108">
        <v>4.8446219083049403E-3</v>
      </c>
      <c r="P211" s="108">
        <v>4.9360611236608102E-3</v>
      </c>
      <c r="Q211" s="108">
        <v>2.371409544973E-3</v>
      </c>
      <c r="R211" s="108">
        <v>2.7404839495985198E-3</v>
      </c>
      <c r="S211" s="108">
        <v>4.0081158483336599E-3</v>
      </c>
      <c r="T211" s="108">
        <v>1.30191328416135E-2</v>
      </c>
      <c r="U211" s="108">
        <v>3.9089992501708699E-2</v>
      </c>
      <c r="V211" s="108">
        <v>2.6007580580266299E-2</v>
      </c>
    </row>
    <row r="212" spans="1:22" ht="15.6">
      <c r="A212" s="110" t="s">
        <v>674</v>
      </c>
      <c r="B212" s="110" t="s">
        <v>675</v>
      </c>
      <c r="C212" s="110" t="s">
        <v>114</v>
      </c>
      <c r="D212" s="110" t="s">
        <v>325</v>
      </c>
      <c r="E212" s="109">
        <v>172.55</v>
      </c>
      <c r="F212" s="109">
        <v>1.7294293393597802E-4</v>
      </c>
      <c r="G212" s="109">
        <v>4.6928732322414199E-4</v>
      </c>
      <c r="H212" s="109">
        <v>9.7219484586325293E-4</v>
      </c>
      <c r="I212" s="109">
        <v>5.1626770042565904E-4</v>
      </c>
      <c r="J212" s="109">
        <v>5.4187780102070799E-3</v>
      </c>
      <c r="K212" s="109">
        <v>1.4439916488924601E-3</v>
      </c>
      <c r="L212" s="109">
        <v>2.71172541085418E-3</v>
      </c>
      <c r="M212" s="109">
        <v>2.71172541085418E-3</v>
      </c>
      <c r="N212" s="108">
        <v>1.6172885605672299E-4</v>
      </c>
      <c r="O212" s="108">
        <v>4.6154388961364397E-3</v>
      </c>
      <c r="P212" s="108">
        <v>7.9517743271827999E-3</v>
      </c>
      <c r="Q212" s="108">
        <v>4.7289402163809297E-4</v>
      </c>
      <c r="R212" s="108">
        <v>7.9124085289673405E-4</v>
      </c>
      <c r="S212" s="108">
        <v>1.4257695976382702E-3</v>
      </c>
      <c r="T212" s="108">
        <v>3.0632578474582501E-3</v>
      </c>
      <c r="U212" s="108">
        <v>2.6005364616291198E-2</v>
      </c>
      <c r="V212" s="108">
        <v>2.8771731869357602E-2</v>
      </c>
    </row>
    <row r="213" spans="1:22" ht="15.6">
      <c r="A213" s="110" t="s">
        <v>670</v>
      </c>
      <c r="B213" s="110" t="s">
        <v>671</v>
      </c>
      <c r="C213" s="110" t="s">
        <v>114</v>
      </c>
      <c r="D213" s="110" t="s">
        <v>325</v>
      </c>
      <c r="E213" s="109">
        <v>133.15</v>
      </c>
      <c r="F213" s="109">
        <v>1.66503473322268E-3</v>
      </c>
      <c r="G213" s="109">
        <v>6.3540413368447192E-3</v>
      </c>
      <c r="H213" s="109">
        <v>8.8614246861019302E-3</v>
      </c>
      <c r="I213" s="109">
        <v>1.8374464561791799E-3</v>
      </c>
      <c r="J213" s="109">
        <v>7.8006373314549607E-3</v>
      </c>
      <c r="K213" s="109">
        <v>1.6500484284269399E-3</v>
      </c>
      <c r="L213" s="109">
        <v>3.0778547688642198E-3</v>
      </c>
      <c r="M213" s="109">
        <v>3.0778547688642198E-3</v>
      </c>
      <c r="N213" s="108">
        <v>7.3978631660996902E-4</v>
      </c>
      <c r="O213" s="108">
        <v>6.9326103833462502E-3</v>
      </c>
      <c r="P213" s="108">
        <v>7.0478109088567302E-3</v>
      </c>
      <c r="Q213" s="108">
        <v>1.0539583491617399E-3</v>
      </c>
      <c r="R213" s="108">
        <v>2.5208958341383799E-3</v>
      </c>
      <c r="S213" s="108">
        <v>7.11074856635306E-3</v>
      </c>
      <c r="T213" s="108">
        <v>1.0904209457786801E-2</v>
      </c>
      <c r="U213" s="108">
        <v>4.1400345223566004E-2</v>
      </c>
      <c r="V213" s="108">
        <v>2.62312412666959E-2</v>
      </c>
    </row>
    <row r="214" spans="1:22" ht="15.6">
      <c r="A214" s="110" t="s">
        <v>586</v>
      </c>
      <c r="B214" s="110" t="s">
        <v>587</v>
      </c>
      <c r="C214" s="110" t="s">
        <v>114</v>
      </c>
      <c r="D214" s="110" t="s">
        <v>325</v>
      </c>
      <c r="E214" s="109">
        <v>263.89</v>
      </c>
      <c r="F214" s="109">
        <v>1.2800006829326199E-4</v>
      </c>
      <c r="G214" s="109">
        <v>2.6458138447660101E-4</v>
      </c>
      <c r="H214" s="109">
        <v>2.1212356536706202E-3</v>
      </c>
      <c r="I214" s="109">
        <v>2.0696083645982299E-4</v>
      </c>
      <c r="J214" s="109">
        <v>9.6242474131394608E-3</v>
      </c>
      <c r="K214" s="109">
        <v>7.9923867167042205E-4</v>
      </c>
      <c r="L214" s="109">
        <v>1.5309913273318198E-3</v>
      </c>
      <c r="M214" s="109">
        <v>1.5309913273318198E-3</v>
      </c>
      <c r="N214" s="108">
        <v>8.4283582402933609E-4</v>
      </c>
      <c r="O214" s="108">
        <v>4.80798195219559E-3</v>
      </c>
      <c r="P214" s="108">
        <v>1.7351171875231199E-3</v>
      </c>
      <c r="Q214" s="108">
        <v>1.1889232226715599E-3</v>
      </c>
      <c r="R214" s="108">
        <v>1.8598889893629801E-3</v>
      </c>
      <c r="S214" s="108">
        <v>5.74210913143142E-3</v>
      </c>
      <c r="T214" s="108">
        <v>9.2340931065267202E-3</v>
      </c>
      <c r="U214" s="108">
        <v>3.0277480530902998E-2</v>
      </c>
      <c r="V214" s="108">
        <v>3.3461247171277499E-2</v>
      </c>
    </row>
    <row r="215" spans="1:22" ht="15.6">
      <c r="A215" s="110" t="s">
        <v>684</v>
      </c>
      <c r="B215" s="110" t="s">
        <v>685</v>
      </c>
      <c r="C215" s="110" t="s">
        <v>115</v>
      </c>
      <c r="D215" s="110" t="s">
        <v>322</v>
      </c>
      <c r="E215" s="109">
        <v>0</v>
      </c>
      <c r="F215" s="109" t="s">
        <v>1550</v>
      </c>
      <c r="G215" s="109" t="s">
        <v>1550</v>
      </c>
      <c r="H215" s="109" t="s">
        <v>1550</v>
      </c>
      <c r="I215" s="109" t="s">
        <v>1550</v>
      </c>
      <c r="J215" s="109" t="s">
        <v>1550</v>
      </c>
      <c r="K215" s="109" t="s">
        <v>1550</v>
      </c>
      <c r="L215" s="109" t="s">
        <v>1550</v>
      </c>
      <c r="M215" s="109">
        <v>2.2134954704349343E-3</v>
      </c>
      <c r="N215" s="111">
        <v>0</v>
      </c>
      <c r="O215" s="111">
        <v>0</v>
      </c>
      <c r="P215" s="111">
        <v>0</v>
      </c>
      <c r="Q215" s="111">
        <v>0</v>
      </c>
      <c r="R215" s="111">
        <v>0</v>
      </c>
      <c r="S215" s="111">
        <v>0</v>
      </c>
      <c r="T215" s="111">
        <v>0</v>
      </c>
      <c r="U215" s="111">
        <v>0</v>
      </c>
      <c r="V215" s="111" t="s">
        <v>1550</v>
      </c>
    </row>
    <row r="216" spans="1:22" ht="15.6">
      <c r="A216" s="110" t="s">
        <v>678</v>
      </c>
      <c r="B216" s="110" t="s">
        <v>679</v>
      </c>
      <c r="C216" s="110" t="s">
        <v>117</v>
      </c>
      <c r="D216" s="110" t="s">
        <v>319</v>
      </c>
      <c r="E216" s="109">
        <v>0</v>
      </c>
      <c r="F216" s="109">
        <v>4.0609162328890305E-3</v>
      </c>
      <c r="G216" s="109">
        <v>1.01998202692722E-2</v>
      </c>
      <c r="H216" s="109">
        <v>1.60860266275435E-2</v>
      </c>
      <c r="I216" s="109">
        <v>1.5543052827241201E-3</v>
      </c>
      <c r="J216" s="109">
        <v>5.2105334456667898E-3</v>
      </c>
      <c r="K216" s="109">
        <v>3.5766371328663406E-4</v>
      </c>
      <c r="L216" s="109">
        <v>3.2783806511916401E-3</v>
      </c>
      <c r="M216" s="109">
        <v>3.2783806511916401E-3</v>
      </c>
      <c r="N216" s="108">
        <v>2.60650937348433E-4</v>
      </c>
      <c r="O216" s="108">
        <v>1.18875111696544E-3</v>
      </c>
      <c r="P216" s="108">
        <v>1.0976529967145999E-3</v>
      </c>
      <c r="Q216" s="108">
        <v>9.9749452167372096E-4</v>
      </c>
      <c r="R216" s="108">
        <v>2.03408626913499E-3</v>
      </c>
      <c r="S216" s="108">
        <v>3.2950571246247603E-3</v>
      </c>
      <c r="T216" s="108">
        <v>7.9604246577259594E-3</v>
      </c>
      <c r="U216" s="108">
        <v>2.1842566745939897E-2</v>
      </c>
      <c r="V216" s="108">
        <v>1.7106847089314398E-2</v>
      </c>
    </row>
    <row r="217" spans="1:22" ht="15.6">
      <c r="A217" s="110" t="s">
        <v>610</v>
      </c>
      <c r="B217" s="110" t="s">
        <v>611</v>
      </c>
      <c r="C217" s="110" t="s">
        <v>119</v>
      </c>
      <c r="D217" s="110" t="s">
        <v>322</v>
      </c>
      <c r="E217" s="109">
        <v>583.66999999999996</v>
      </c>
      <c r="F217" s="109">
        <v>2.8443636684282701E-3</v>
      </c>
      <c r="G217" s="109">
        <v>4.8401978054271998E-3</v>
      </c>
      <c r="H217" s="109">
        <v>8.6252289421573404E-3</v>
      </c>
      <c r="I217" s="109">
        <v>2.7835321615293099E-3</v>
      </c>
      <c r="J217" s="109">
        <v>4.1509589013881297E-3</v>
      </c>
      <c r="K217" s="109">
        <v>7.0454975672068899E-4</v>
      </c>
      <c r="L217" s="109">
        <v>3.4493233513716304E-3</v>
      </c>
      <c r="M217" s="109">
        <v>3.4493233513716304E-3</v>
      </c>
      <c r="N217" s="108">
        <v>8.1335171139922395E-4</v>
      </c>
      <c r="O217" s="108">
        <v>2.9352274779445202E-3</v>
      </c>
      <c r="P217" s="108">
        <v>1.49901430692698E-3</v>
      </c>
      <c r="Q217" s="108">
        <v>7.9135176027753204E-4</v>
      </c>
      <c r="R217" s="108">
        <v>5.1334980108040001E-4</v>
      </c>
      <c r="S217" s="108">
        <v>1.7691444111909102E-3</v>
      </c>
      <c r="T217" s="108">
        <v>2.4486253182855098E-3</v>
      </c>
      <c r="U217" s="108">
        <v>1.6239658621370098E-2</v>
      </c>
      <c r="V217" s="108">
        <v>1.814086873707E-2</v>
      </c>
    </row>
    <row r="218" spans="1:22" ht="15.6">
      <c r="A218" s="110" t="s">
        <v>680</v>
      </c>
      <c r="B218" s="110" t="s">
        <v>681</v>
      </c>
      <c r="C218" s="110" t="s">
        <v>119</v>
      </c>
      <c r="D218" s="110" t="s">
        <v>325</v>
      </c>
      <c r="E218" s="109">
        <v>75.34</v>
      </c>
      <c r="F218" s="109">
        <v>8.6000346349735801E-3</v>
      </c>
      <c r="G218" s="109">
        <v>1.5915311106308901E-2</v>
      </c>
      <c r="H218" s="109">
        <v>2.27852568839742E-2</v>
      </c>
      <c r="I218" s="109">
        <v>5.3816237096467705E-3</v>
      </c>
      <c r="J218" s="109">
        <v>2.2447622803834499E-3</v>
      </c>
      <c r="K218" s="109">
        <v>4.3859655343165996E-4</v>
      </c>
      <c r="L218" s="109">
        <v>2.1499319798028399E-3</v>
      </c>
      <c r="M218" s="109">
        <v>2.1499319798028399E-3</v>
      </c>
      <c r="N218" s="108">
        <v>3.1367916455148298E-4</v>
      </c>
      <c r="O218" s="108">
        <v>8.9282350373641906E-4</v>
      </c>
      <c r="P218" s="108">
        <v>2.3820445772848699E-3</v>
      </c>
      <c r="Q218" s="108">
        <v>2.8537927708033903E-4</v>
      </c>
      <c r="R218" s="108">
        <v>3.5455831097928403E-4</v>
      </c>
      <c r="S218" s="108">
        <v>1.93604011192803E-3</v>
      </c>
      <c r="T218" s="108">
        <v>1.43650191974944E-3</v>
      </c>
      <c r="U218" s="108">
        <v>1.09653742415644E-2</v>
      </c>
      <c r="V218" s="108">
        <v>7.7018749693533199E-3</v>
      </c>
    </row>
    <row r="219" spans="1:22" ht="15.6">
      <c r="A219" s="110" t="s">
        <v>682</v>
      </c>
      <c r="B219" s="110" t="s">
        <v>683</v>
      </c>
      <c r="C219" s="110" t="s">
        <v>119</v>
      </c>
      <c r="D219" s="110" t="s">
        <v>325</v>
      </c>
      <c r="E219" s="109">
        <v>62.74</v>
      </c>
      <c r="F219" s="109">
        <v>5.32416342522723E-3</v>
      </c>
      <c r="G219" s="109">
        <v>9.5369172107535698E-3</v>
      </c>
      <c r="H219" s="109">
        <v>1.47355072845529E-2</v>
      </c>
      <c r="I219" s="109">
        <v>9.2216408599326803E-3</v>
      </c>
      <c r="J219" s="109">
        <v>4.9378853779873597E-3</v>
      </c>
      <c r="K219" s="109">
        <v>5.5606362649145201E-4</v>
      </c>
      <c r="L219" s="109">
        <v>2.4094435828931403E-3</v>
      </c>
      <c r="M219" s="109">
        <v>2.4094435828931403E-3</v>
      </c>
      <c r="N219" s="108">
        <v>4.0901006213261396E-4</v>
      </c>
      <c r="O219" s="108">
        <v>1.08040170006656E-3</v>
      </c>
      <c r="P219" s="108">
        <v>2.1377483395889798E-3</v>
      </c>
      <c r="Q219" s="108">
        <v>4.4424956954930303E-4</v>
      </c>
      <c r="R219" s="108">
        <v>6.2451256403373901E-4</v>
      </c>
      <c r="S219" s="108">
        <v>2.5033026600334999E-3</v>
      </c>
      <c r="T219" s="108">
        <v>2.6691502648122202E-3</v>
      </c>
      <c r="U219" s="108">
        <v>1.4297064739683899E-2</v>
      </c>
      <c r="V219" s="108">
        <v>1.79119283372275E-2</v>
      </c>
    </row>
  </sheetData>
  <autoFilter ref="A1:V1" xr:uid="{47DF8978-3E68-0E4C-8C94-A368D1656BEA}"/>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P219"/>
  <sheetViews>
    <sheetView showGridLines="0" topLeftCell="H1" zoomScale="135" workbookViewId="0">
      <pane ySplit="1" topLeftCell="A2" activePane="bottomLeft" state="frozen"/>
      <selection activeCell="AD20" sqref="AD20"/>
      <selection pane="bottomLeft" activeCell="AD20" sqref="AD20"/>
    </sheetView>
  </sheetViews>
  <sheetFormatPr defaultColWidth="10.69921875" defaultRowHeight="15.6"/>
  <cols>
    <col min="1" max="1" width="21.69921875" customWidth="1"/>
    <col min="2" max="2" width="7.796875" customWidth="1"/>
    <col min="3" max="3" width="21.5" bestFit="1" customWidth="1"/>
    <col min="4" max="4" width="19" bestFit="1" customWidth="1"/>
    <col min="5" max="7" width="9.296875" customWidth="1"/>
    <col min="8" max="8" width="17" style="16" bestFit="1" customWidth="1"/>
    <col min="11" max="16" width="13.19921875" customWidth="1"/>
  </cols>
  <sheetData>
    <row r="1" spans="1:16" s="37" customFormat="1" ht="88.95" customHeight="1" thickBot="1">
      <c r="A1" s="47" t="s">
        <v>1551</v>
      </c>
      <c r="B1" s="47" t="s">
        <v>296</v>
      </c>
      <c r="C1" s="48" t="s">
        <v>297</v>
      </c>
      <c r="D1" s="48" t="s">
        <v>298</v>
      </c>
      <c r="E1" s="48" t="s">
        <v>111</v>
      </c>
      <c r="F1" s="48" t="s">
        <v>112</v>
      </c>
      <c r="G1" s="48" t="s">
        <v>113</v>
      </c>
      <c r="H1" s="49" t="s">
        <v>1552</v>
      </c>
      <c r="I1" s="50" t="s">
        <v>1553</v>
      </c>
      <c r="J1" s="50" t="s">
        <v>1554</v>
      </c>
      <c r="K1" s="39" t="s">
        <v>1555</v>
      </c>
      <c r="L1" s="39" t="s">
        <v>1556</v>
      </c>
      <c r="M1" s="39" t="s">
        <v>1557</v>
      </c>
      <c r="N1" s="51" t="s">
        <v>1558</v>
      </c>
      <c r="O1" s="51" t="s">
        <v>1559</v>
      </c>
      <c r="P1" s="51" t="s">
        <v>1560</v>
      </c>
    </row>
    <row r="2" spans="1:16">
      <c r="A2" s="40" t="s">
        <v>686</v>
      </c>
      <c r="B2" s="40" t="s">
        <v>687</v>
      </c>
      <c r="C2" s="40" t="s">
        <v>116</v>
      </c>
      <c r="D2" s="40" t="s">
        <v>121</v>
      </c>
      <c r="E2" s="41">
        <f>INDEX('Parameters | Agora'!$B$25:$D$33,MATCH($C2,'Parameters | Agora'!$A$25:$A$33,0),MATCH(E$1,'Parameters | Agora'!$B$24:$D$24,0))</f>
        <v>7.8E-2</v>
      </c>
      <c r="F2" s="41">
        <f>INDEX('Parameters | Agora'!$B$25:$D$33,MATCH($C2,'Parameters | Agora'!$A$25:$A$33,0),MATCH(F$1,'Parameters | Agora'!$B$24:$D$24,0))</f>
        <v>5.3999999999999999E-2</v>
      </c>
      <c r="G2" s="41">
        <f>INDEX('Parameters | Agora'!$B$25:$D$33,MATCH($C2,'Parameters | Agora'!$A$25:$A$33,0),MATCH(G$1,'Parameters | Agora'!$B$24:$D$24,0))</f>
        <v>0.159</v>
      </c>
      <c r="H2" s="42">
        <v>33410</v>
      </c>
      <c r="I2" s="15">
        <f>'Parameters | Agora'!$B$22</f>
        <v>1080</v>
      </c>
      <c r="J2" s="15">
        <f>'Parameters | Agora'!$B$21</f>
        <v>20</v>
      </c>
      <c r="K2" s="45">
        <f>E2*$H2/$I2*$J2</f>
        <v>48.25888888888889</v>
      </c>
      <c r="L2" s="45">
        <f t="shared" ref="L2:L65" si="0">F2*$H2/$I2*$J2</f>
        <v>33.409999999999997</v>
      </c>
      <c r="M2" s="45">
        <f t="shared" ref="M2:M65" si="1">G2*$H2/$I2*$J2</f>
        <v>98.373888888888899</v>
      </c>
      <c r="N2" s="46">
        <f>E2*$H2/'Parameters | Agora'!$B$19*$J2</f>
        <v>289.55333333333334</v>
      </c>
      <c r="O2" s="46">
        <f>F2*$H2/'Parameters | Agora'!$B$19*$J2</f>
        <v>200.45999999999998</v>
      </c>
      <c r="P2" s="46">
        <f>G2*$H2/'Parameters | Agora'!$B$19*$J2</f>
        <v>590.24333333333334</v>
      </c>
    </row>
    <row r="3" spans="1:16">
      <c r="A3" s="43" t="s">
        <v>317</v>
      </c>
      <c r="B3" s="43" t="s">
        <v>318</v>
      </c>
      <c r="C3" s="43" t="s">
        <v>118</v>
      </c>
      <c r="D3" s="43" t="s">
        <v>319</v>
      </c>
      <c r="E3" s="44">
        <f>INDEX('Parameters | Agora'!$B$25:$D$33,MATCH($C3,'Parameters | Agora'!$A$25:$A$33,0),MATCH(E$1,'Parameters | Agora'!$B$24:$D$24,0))</f>
        <v>0.06</v>
      </c>
      <c r="F3" s="44">
        <f>INDEX('Parameters | Agora'!$B$25:$D$33,MATCH($C3,'Parameters | Agora'!$A$25:$A$33,0),MATCH(F$1,'Parameters | Agora'!$B$24:$D$24,0))</f>
        <v>0.05</v>
      </c>
      <c r="G3" s="44">
        <f>INDEX('Parameters | Agora'!$B$25:$D$33,MATCH($C3,'Parameters | Agora'!$A$25:$A$33,0),MATCH(G$1,'Parameters | Agora'!$B$24:$D$24,0))</f>
        <v>0.17299999999999999</v>
      </c>
      <c r="H3" s="42">
        <v>380</v>
      </c>
      <c r="I3" s="8">
        <f>'Parameters | Agora'!$B$22</f>
        <v>1080</v>
      </c>
      <c r="J3" s="15">
        <f>'Parameters | Agora'!$B$21</f>
        <v>20</v>
      </c>
      <c r="K3" s="45">
        <f t="shared" ref="K3:K66" si="2">E3*$H3/$I3*$J3</f>
        <v>0.42222222222222222</v>
      </c>
      <c r="L3" s="45">
        <f t="shared" si="0"/>
        <v>0.35185185185185186</v>
      </c>
      <c r="M3" s="45">
        <f t="shared" si="1"/>
        <v>1.2174074074074073</v>
      </c>
      <c r="N3" s="46">
        <f>E3*$H3/'Parameters | Agora'!$B$19*$J3</f>
        <v>2.5333333333333337</v>
      </c>
      <c r="O3" s="46">
        <f>F3*$H3/'Parameters | Agora'!$B$19*$J3</f>
        <v>2.1111111111111112</v>
      </c>
      <c r="P3" s="46">
        <f>G3*$H3/'Parameters | Agora'!$B$19*$J3</f>
        <v>7.3044444444444432</v>
      </c>
    </row>
    <row r="4" spans="1:16">
      <c r="A4" s="43" t="s">
        <v>326</v>
      </c>
      <c r="B4" s="43" t="s">
        <v>327</v>
      </c>
      <c r="C4" s="43" t="s">
        <v>119</v>
      </c>
      <c r="D4" s="43" t="s">
        <v>325</v>
      </c>
      <c r="E4" s="44">
        <f>INDEX('Parameters | Agora'!$B$25:$D$33,MATCH($C4,'Parameters | Agora'!$A$25:$A$33,0),MATCH(E$1,'Parameters | Agora'!$B$24:$D$24,0))</f>
        <v>0.14399999999999999</v>
      </c>
      <c r="F4" s="44">
        <f>INDEX('Parameters | Agora'!$B$25:$D$33,MATCH($C4,'Parameters | Agora'!$A$25:$A$33,0),MATCH(F$1,'Parameters | Agora'!$B$24:$D$24,0))</f>
        <v>0.106</v>
      </c>
      <c r="G4" s="44">
        <f>INDEX('Parameters | Agora'!$B$25:$D$33,MATCH($C4,'Parameters | Agora'!$A$25:$A$33,0),MATCH(G$1,'Parameters | Agora'!$B$24:$D$24,0))</f>
        <v>0.21</v>
      </c>
      <c r="H4" s="42">
        <v>1880</v>
      </c>
      <c r="I4" s="8">
        <f>'Parameters | Agora'!$B$22</f>
        <v>1080</v>
      </c>
      <c r="J4" s="15">
        <f>'Parameters | Agora'!$B$21</f>
        <v>20</v>
      </c>
      <c r="K4" s="45">
        <f t="shared" si="2"/>
        <v>5.0133333333333328</v>
      </c>
      <c r="L4" s="45">
        <f t="shared" si="0"/>
        <v>3.6903703703703705</v>
      </c>
      <c r="M4" s="45">
        <f t="shared" si="1"/>
        <v>7.3111111111111118</v>
      </c>
      <c r="N4" s="46">
        <f>E4*$H4/'Parameters | Agora'!$B$19*$J4</f>
        <v>30.079999999999995</v>
      </c>
      <c r="O4" s="46">
        <f>F4*$H4/'Parameters | Agora'!$B$19*$J4</f>
        <v>22.142222222222223</v>
      </c>
      <c r="P4" s="46">
        <f>G4*$H4/'Parameters | Agora'!$B$19*$J4</f>
        <v>43.866666666666667</v>
      </c>
    </row>
    <row r="5" spans="1:16">
      <c r="A5" s="43" t="s">
        <v>320</v>
      </c>
      <c r="B5" s="43" t="s">
        <v>321</v>
      </c>
      <c r="C5" s="43" t="s">
        <v>115</v>
      </c>
      <c r="D5" s="43" t="s">
        <v>322</v>
      </c>
      <c r="E5" s="44">
        <f>INDEX('Parameters | Agora'!$B$25:$D$33,MATCH($C5,'Parameters | Agora'!$A$25:$A$33,0),MATCH(E$1,'Parameters | Agora'!$B$24:$D$24,0))</f>
        <v>0.13900000000000001</v>
      </c>
      <c r="F5" s="44">
        <f>INDEX('Parameters | Agora'!$B$25:$D$33,MATCH($C5,'Parameters | Agora'!$A$25:$A$33,0),MATCH(F$1,'Parameters | Agora'!$B$24:$D$24,0))</f>
        <v>4.7E-2</v>
      </c>
      <c r="G5" s="44">
        <f>INDEX('Parameters | Agora'!$B$25:$D$33,MATCH($C5,'Parameters | Agora'!$A$25:$A$33,0),MATCH(G$1,'Parameters | Agora'!$B$24:$D$24,0))</f>
        <v>0.10299999999999999</v>
      </c>
      <c r="H5" s="42">
        <v>6770</v>
      </c>
      <c r="I5" s="8">
        <f>'Parameters | Agora'!$B$22</f>
        <v>1080</v>
      </c>
      <c r="J5" s="15">
        <f>'Parameters | Agora'!$B$21</f>
        <v>20</v>
      </c>
      <c r="K5" s="45">
        <f t="shared" si="2"/>
        <v>17.426481481481485</v>
      </c>
      <c r="L5" s="45">
        <f t="shared" si="0"/>
        <v>5.8924074074074078</v>
      </c>
      <c r="M5" s="45">
        <f t="shared" si="1"/>
        <v>12.913148148148148</v>
      </c>
      <c r="N5" s="46">
        <f>E5*$H5/'Parameters | Agora'!$B$19*$J5</f>
        <v>104.5588888888889</v>
      </c>
      <c r="O5" s="46">
        <f>F5*$H5/'Parameters | Agora'!$B$19*$J5</f>
        <v>35.354444444444447</v>
      </c>
      <c r="P5" s="46">
        <f>G5*$H5/'Parameters | Agora'!$B$19*$J5</f>
        <v>77.478888888888889</v>
      </c>
    </row>
    <row r="6" spans="1:16">
      <c r="A6" s="43" t="s">
        <v>688</v>
      </c>
      <c r="B6" s="43" t="s">
        <v>689</v>
      </c>
      <c r="C6" s="43" t="s">
        <v>115</v>
      </c>
      <c r="D6" s="43" t="s">
        <v>121</v>
      </c>
      <c r="E6" s="44">
        <f>INDEX('Parameters | Agora'!$B$25:$D$33,MATCH($C6,'Parameters | Agora'!$A$25:$A$33,0),MATCH(E$1,'Parameters | Agora'!$B$24:$D$24,0))</f>
        <v>0.13900000000000001</v>
      </c>
      <c r="F6" s="44">
        <f>INDEX('Parameters | Agora'!$B$25:$D$33,MATCH($C6,'Parameters | Agora'!$A$25:$A$33,0),MATCH(F$1,'Parameters | Agora'!$B$24:$D$24,0))</f>
        <v>4.7E-2</v>
      </c>
      <c r="G6" s="44">
        <f>INDEX('Parameters | Agora'!$B$25:$D$33,MATCH($C6,'Parameters | Agora'!$A$25:$A$33,0),MATCH(G$1,'Parameters | Agora'!$B$24:$D$24,0))</f>
        <v>0.10299999999999999</v>
      </c>
      <c r="H6" s="42">
        <v>44350</v>
      </c>
      <c r="I6" s="8">
        <f>'Parameters | Agora'!$B$22</f>
        <v>1080</v>
      </c>
      <c r="J6" s="15">
        <f>'Parameters | Agora'!$B$21</f>
        <v>20</v>
      </c>
      <c r="K6" s="45">
        <f t="shared" si="2"/>
        <v>114.1601851851852</v>
      </c>
      <c r="L6" s="45">
        <f t="shared" si="0"/>
        <v>38.600925925925921</v>
      </c>
      <c r="M6" s="45">
        <f t="shared" si="1"/>
        <v>84.593518518518522</v>
      </c>
      <c r="N6" s="46">
        <f>E6*$H6/'Parameters | Agora'!$B$19*$J6</f>
        <v>684.96111111111122</v>
      </c>
      <c r="O6" s="46">
        <f>F6*$H6/'Parameters | Agora'!$B$19*$J6</f>
        <v>231.60555555555555</v>
      </c>
      <c r="P6" s="46">
        <f>G6*$H6/'Parameters | Agora'!$B$19*$J6</f>
        <v>507.56111111111113</v>
      </c>
    </row>
    <row r="7" spans="1:16">
      <c r="A7" s="43" t="s">
        <v>660</v>
      </c>
      <c r="B7" s="43" t="s">
        <v>661</v>
      </c>
      <c r="C7" s="43" t="s">
        <v>117</v>
      </c>
      <c r="D7" s="43" t="s">
        <v>121</v>
      </c>
      <c r="E7" s="44">
        <f>INDEX('Parameters | Agora'!$B$25:$D$33,MATCH($C7,'Parameters | Agora'!$A$25:$A$33,0),MATCH(E$1,'Parameters | Agora'!$B$24:$D$24,0))</f>
        <v>0.16</v>
      </c>
      <c r="F7" s="44">
        <f>INDEX('Parameters | Agora'!$B$25:$D$33,MATCH($C7,'Parameters | Agora'!$A$25:$A$33,0),MATCH(F$1,'Parameters | Agora'!$B$24:$D$24,0))</f>
        <v>4.4999999999999998E-2</v>
      </c>
      <c r="G7" s="44">
        <f>INDEX('Parameters | Agora'!$B$25:$D$33,MATCH($C7,'Parameters | Agora'!$A$25:$A$33,0),MATCH(G$1,'Parameters | Agora'!$B$24:$D$24,0))</f>
        <v>0.105</v>
      </c>
      <c r="H7" s="42">
        <v>49160</v>
      </c>
      <c r="I7" s="8">
        <f>'Parameters | Agora'!$B$22</f>
        <v>1080</v>
      </c>
      <c r="J7" s="15">
        <f>'Parameters | Agora'!$B$21</f>
        <v>20</v>
      </c>
      <c r="K7" s="45">
        <f t="shared" si="2"/>
        <v>145.65925925925927</v>
      </c>
      <c r="L7" s="45">
        <f t="shared" si="0"/>
        <v>40.966666666666669</v>
      </c>
      <c r="M7" s="45">
        <f t="shared" si="1"/>
        <v>95.588888888888889</v>
      </c>
      <c r="N7" s="46">
        <f>E7*$H7/'Parameters | Agora'!$B$19*$J7</f>
        <v>873.95555555555563</v>
      </c>
      <c r="O7" s="46">
        <f>F7*$H7/'Parameters | Agora'!$B$19*$J7</f>
        <v>245.79999999999998</v>
      </c>
      <c r="P7" s="46">
        <f>G7*$H7/'Parameters | Agora'!$B$19*$J7</f>
        <v>573.53333333333342</v>
      </c>
    </row>
    <row r="8" spans="1:16">
      <c r="A8" s="43" t="s">
        <v>330</v>
      </c>
      <c r="B8" s="43" t="s">
        <v>331</v>
      </c>
      <c r="C8" s="43" t="s">
        <v>116</v>
      </c>
      <c r="D8" s="43" t="s">
        <v>322</v>
      </c>
      <c r="E8" s="44">
        <f>INDEX('Parameters | Agora'!$B$25:$D$33,MATCH($C8,'Parameters | Agora'!$A$25:$A$33,0),MATCH(E$1,'Parameters | Agora'!$B$24:$D$24,0))</f>
        <v>7.8E-2</v>
      </c>
      <c r="F8" s="44">
        <f>INDEX('Parameters | Agora'!$B$25:$D$33,MATCH($C8,'Parameters | Agora'!$A$25:$A$33,0),MATCH(F$1,'Parameters | Agora'!$B$24:$D$24,0))</f>
        <v>5.3999999999999999E-2</v>
      </c>
      <c r="G8" s="44">
        <f>INDEX('Parameters | Agora'!$B$25:$D$33,MATCH($C8,'Parameters | Agora'!$A$25:$A$33,0),MATCH(G$1,'Parameters | Agora'!$B$24:$D$24,0))</f>
        <v>0.159</v>
      </c>
      <c r="H8" s="42">
        <v>11590</v>
      </c>
      <c r="I8" s="8">
        <f>'Parameters | Agora'!$B$22</f>
        <v>1080</v>
      </c>
      <c r="J8" s="15">
        <f>'Parameters | Agora'!$B$21</f>
        <v>20</v>
      </c>
      <c r="K8" s="45">
        <f t="shared" si="2"/>
        <v>16.74111111111111</v>
      </c>
      <c r="L8" s="45">
        <f t="shared" si="0"/>
        <v>11.59</v>
      </c>
      <c r="M8" s="45">
        <f t="shared" si="1"/>
        <v>34.126111111111108</v>
      </c>
      <c r="N8" s="46">
        <f>E8*$H8/'Parameters | Agora'!$B$19*$J8</f>
        <v>100.44666666666666</v>
      </c>
      <c r="O8" s="46">
        <f>F8*$H8/'Parameters | Agora'!$B$19*$J8</f>
        <v>69.539999999999992</v>
      </c>
      <c r="P8" s="46">
        <f>G8*$H8/'Parameters | Agora'!$B$19*$J8</f>
        <v>204.75666666666666</v>
      </c>
    </row>
    <row r="9" spans="1:16">
      <c r="A9" s="43" t="s">
        <v>332</v>
      </c>
      <c r="B9" s="43" t="s">
        <v>333</v>
      </c>
      <c r="C9" s="43" t="s">
        <v>115</v>
      </c>
      <c r="D9" s="43" t="s">
        <v>322</v>
      </c>
      <c r="E9" s="44">
        <f>INDEX('Parameters | Agora'!$B$25:$D$33,MATCH($C9,'Parameters | Agora'!$A$25:$A$33,0),MATCH(E$1,'Parameters | Agora'!$B$24:$D$24,0))</f>
        <v>0.13900000000000001</v>
      </c>
      <c r="F9" s="44">
        <f>INDEX('Parameters | Agora'!$B$25:$D$33,MATCH($C9,'Parameters | Agora'!$A$25:$A$33,0),MATCH(F$1,'Parameters | Agora'!$B$24:$D$24,0))</f>
        <v>4.7E-2</v>
      </c>
      <c r="G9" s="44">
        <f>INDEX('Parameters | Agora'!$B$25:$D$33,MATCH($C9,'Parameters | Agora'!$A$25:$A$33,0),MATCH(G$1,'Parameters | Agora'!$B$24:$D$24,0))</f>
        <v>0.10299999999999999</v>
      </c>
      <c r="H9" s="42">
        <v>5960</v>
      </c>
      <c r="I9" s="8">
        <f>'Parameters | Agora'!$B$22</f>
        <v>1080</v>
      </c>
      <c r="J9" s="15">
        <f>'Parameters | Agora'!$B$21</f>
        <v>20</v>
      </c>
      <c r="K9" s="45">
        <f t="shared" si="2"/>
        <v>15.341481481481482</v>
      </c>
      <c r="L9" s="45">
        <f t="shared" si="0"/>
        <v>5.1874074074074077</v>
      </c>
      <c r="M9" s="45">
        <f t="shared" si="1"/>
        <v>11.368148148148148</v>
      </c>
      <c r="N9" s="46">
        <f>E9*$H9/'Parameters | Agora'!$B$19*$J9</f>
        <v>92.048888888888897</v>
      </c>
      <c r="O9" s="46">
        <f>F9*$H9/'Parameters | Agora'!$B$19*$J9</f>
        <v>31.124444444444443</v>
      </c>
      <c r="P9" s="46">
        <f>G9*$H9/'Parameters | Agora'!$B$19*$J9</f>
        <v>68.208888888888893</v>
      </c>
    </row>
    <row r="10" spans="1:16">
      <c r="A10" s="43" t="s">
        <v>739</v>
      </c>
      <c r="B10" s="43" t="s">
        <v>740</v>
      </c>
      <c r="C10" s="43" t="s">
        <v>114</v>
      </c>
      <c r="D10" s="43" t="s">
        <v>121</v>
      </c>
      <c r="E10" s="44">
        <f>INDEX('Parameters | Agora'!$B$25:$D$33,MATCH($C10,'Parameters | Agora'!$A$25:$A$33,0),MATCH(E$1,'Parameters | Agora'!$B$24:$D$24,0))</f>
        <v>0.13600000000000001</v>
      </c>
      <c r="F10" s="44">
        <f>INDEX('Parameters | Agora'!$B$25:$D$33,MATCH($C10,'Parameters | Agora'!$A$25:$A$33,0),MATCH(F$1,'Parameters | Agora'!$B$24:$D$24,0))</f>
        <v>5.2999999999999999E-2</v>
      </c>
      <c r="G10" s="44">
        <f>INDEX('Parameters | Agora'!$B$25:$D$33,MATCH($C10,'Parameters | Agora'!$A$25:$A$33,0),MATCH(G$1,'Parameters | Agora'!$B$24:$D$24,0))</f>
        <v>0.14799999999999999</v>
      </c>
      <c r="H10" s="42">
        <v>47870.392999999989</v>
      </c>
      <c r="I10" s="8">
        <f>'Parameters | Agora'!$B$22</f>
        <v>1080</v>
      </c>
      <c r="J10" s="15">
        <f>'Parameters | Agora'!$B$21</f>
        <v>20</v>
      </c>
      <c r="K10" s="45">
        <f t="shared" si="2"/>
        <v>120.56247125925924</v>
      </c>
      <c r="L10" s="45">
        <f t="shared" si="0"/>
        <v>46.983904240740728</v>
      </c>
      <c r="M10" s="45">
        <f t="shared" si="1"/>
        <v>131.20033637037034</v>
      </c>
      <c r="N10" s="46">
        <f>E10*$H10/'Parameters | Agora'!$B$19*$J10</f>
        <v>723.37482755555561</v>
      </c>
      <c r="O10" s="46">
        <f>F10*$H10/'Parameters | Agora'!$B$19*$J10</f>
        <v>281.90342544444439</v>
      </c>
      <c r="P10" s="46">
        <f>G10*$H10/'Parameters | Agora'!$B$19*$J10</f>
        <v>787.20201822222202</v>
      </c>
    </row>
    <row r="11" spans="1:16">
      <c r="A11" s="43" t="s">
        <v>328</v>
      </c>
      <c r="B11" s="43" t="s">
        <v>329</v>
      </c>
      <c r="C11" s="43" t="s">
        <v>116</v>
      </c>
      <c r="D11" s="43" t="s">
        <v>121</v>
      </c>
      <c r="E11" s="44">
        <f>INDEX('Parameters | Agora'!$B$25:$D$33,MATCH($C11,'Parameters | Agora'!$A$25:$A$33,0),MATCH(E$1,'Parameters | Agora'!$B$24:$D$24,0))</f>
        <v>7.8E-2</v>
      </c>
      <c r="F11" s="44">
        <f>INDEX('Parameters | Agora'!$B$25:$D$33,MATCH($C11,'Parameters | Agora'!$A$25:$A$33,0),MATCH(F$1,'Parameters | Agora'!$B$24:$D$24,0))</f>
        <v>5.3999999999999999E-2</v>
      </c>
      <c r="G11" s="44">
        <f>INDEX('Parameters | Agora'!$B$25:$D$33,MATCH($C11,'Parameters | Agora'!$A$25:$A$33,0),MATCH(G$1,'Parameters | Agora'!$B$24:$D$24,0))</f>
        <v>0.159</v>
      </c>
      <c r="H11" s="42">
        <v>19050</v>
      </c>
      <c r="I11" s="8">
        <f>'Parameters | Agora'!$B$22</f>
        <v>1080</v>
      </c>
      <c r="J11" s="15">
        <f>'Parameters | Agora'!$B$21</f>
        <v>20</v>
      </c>
      <c r="K11" s="45">
        <f t="shared" si="2"/>
        <v>27.516666666666669</v>
      </c>
      <c r="L11" s="45">
        <f t="shared" si="0"/>
        <v>19.05</v>
      </c>
      <c r="M11" s="45">
        <f t="shared" si="1"/>
        <v>56.091666666666669</v>
      </c>
      <c r="N11" s="46">
        <f>E11*$H11/'Parameters | Agora'!$B$19*$J11</f>
        <v>165.10000000000002</v>
      </c>
      <c r="O11" s="46">
        <f>F11*$H11/'Parameters | Agora'!$B$19*$J11</f>
        <v>114.3</v>
      </c>
      <c r="P11" s="46">
        <f>G11*$H11/'Parameters | Agora'!$B$19*$J11</f>
        <v>336.55</v>
      </c>
    </row>
    <row r="12" spans="1:16">
      <c r="A12" s="43" t="s">
        <v>334</v>
      </c>
      <c r="B12" s="43" t="s">
        <v>335</v>
      </c>
      <c r="C12" s="43" t="s">
        <v>114</v>
      </c>
      <c r="D12" s="43" t="s">
        <v>121</v>
      </c>
      <c r="E12" s="44">
        <f>INDEX('Parameters | Agora'!$B$25:$D$33,MATCH($C12,'Parameters | Agora'!$A$25:$A$33,0),MATCH(E$1,'Parameters | Agora'!$B$24:$D$24,0))</f>
        <v>0.13600000000000001</v>
      </c>
      <c r="F12" s="44">
        <f>INDEX('Parameters | Agora'!$B$25:$D$33,MATCH($C12,'Parameters | Agora'!$A$25:$A$33,0),MATCH(F$1,'Parameters | Agora'!$B$24:$D$24,0))</f>
        <v>5.2999999999999999E-2</v>
      </c>
      <c r="G12" s="44">
        <f>INDEX('Parameters | Agora'!$B$25:$D$33,MATCH($C12,'Parameters | Agora'!$A$25:$A$33,0),MATCH(G$1,'Parameters | Agora'!$B$24:$D$24,0))</f>
        <v>0.14799999999999999</v>
      </c>
      <c r="H12" s="42">
        <v>60840</v>
      </c>
      <c r="I12" s="8">
        <f>'Parameters | Agora'!$B$22</f>
        <v>1080</v>
      </c>
      <c r="J12" s="15">
        <f>'Parameters | Agora'!$B$21</f>
        <v>20</v>
      </c>
      <c r="K12" s="45">
        <f t="shared" si="2"/>
        <v>153.22666666666666</v>
      </c>
      <c r="L12" s="45">
        <f t="shared" si="0"/>
        <v>59.713333333333331</v>
      </c>
      <c r="M12" s="45">
        <f t="shared" si="1"/>
        <v>166.74666666666667</v>
      </c>
      <c r="N12" s="46">
        <f>E12*$H12/'Parameters | Agora'!$B$19*$J12</f>
        <v>919.3599999999999</v>
      </c>
      <c r="O12" s="46">
        <f>F12*$H12/'Parameters | Agora'!$B$19*$J12</f>
        <v>358.28000000000003</v>
      </c>
      <c r="P12" s="46">
        <f>G12*$H12/'Parameters | Agora'!$B$19*$J12</f>
        <v>1000.48</v>
      </c>
    </row>
    <row r="13" spans="1:16">
      <c r="A13" s="43" t="s">
        <v>336</v>
      </c>
      <c r="B13" s="43" t="s">
        <v>337</v>
      </c>
      <c r="C13" s="43" t="s">
        <v>115</v>
      </c>
      <c r="D13" s="43" t="s">
        <v>121</v>
      </c>
      <c r="E13" s="44">
        <f>INDEX('Parameters | Agora'!$B$25:$D$33,MATCH($C13,'Parameters | Agora'!$A$25:$A$33,0),MATCH(E$1,'Parameters | Agora'!$B$24:$D$24,0))</f>
        <v>0.13900000000000001</v>
      </c>
      <c r="F13" s="44">
        <f>INDEX('Parameters | Agora'!$B$25:$D$33,MATCH($C13,'Parameters | Agora'!$A$25:$A$33,0),MATCH(F$1,'Parameters | Agora'!$B$24:$D$24,0))</f>
        <v>4.7E-2</v>
      </c>
      <c r="G13" s="44">
        <f>INDEX('Parameters | Agora'!$B$25:$D$33,MATCH($C13,'Parameters | Agora'!$A$25:$A$33,0),MATCH(G$1,'Parameters | Agora'!$B$24:$D$24,0))</f>
        <v>0.10299999999999999</v>
      </c>
      <c r="H13" s="42">
        <v>55720</v>
      </c>
      <c r="I13" s="8">
        <f>'Parameters | Agora'!$B$22</f>
        <v>1080</v>
      </c>
      <c r="J13" s="15">
        <f>'Parameters | Agora'!$B$21</f>
        <v>20</v>
      </c>
      <c r="K13" s="45">
        <f t="shared" si="2"/>
        <v>143.42740740740743</v>
      </c>
      <c r="L13" s="45">
        <f t="shared" si="0"/>
        <v>48.497037037037039</v>
      </c>
      <c r="M13" s="45">
        <f t="shared" si="1"/>
        <v>106.28074074074075</v>
      </c>
      <c r="N13" s="46">
        <f>E13*$H13/'Parameters | Agora'!$B$19*$J13</f>
        <v>860.56444444444446</v>
      </c>
      <c r="O13" s="46">
        <f>F13*$H13/'Parameters | Agora'!$B$19*$J13</f>
        <v>290.98222222222222</v>
      </c>
      <c r="P13" s="46">
        <f>G13*$H13/'Parameters | Agora'!$B$19*$J13</f>
        <v>637.68444444444435</v>
      </c>
    </row>
    <row r="14" spans="1:16">
      <c r="A14" s="43" t="s">
        <v>338</v>
      </c>
      <c r="B14" s="43" t="s">
        <v>339</v>
      </c>
      <c r="C14" s="43" t="s">
        <v>115</v>
      </c>
      <c r="D14" s="43" t="s">
        <v>322</v>
      </c>
      <c r="E14" s="44">
        <f>INDEX('Parameters | Agora'!$B$25:$D$33,MATCH($C14,'Parameters | Agora'!$A$25:$A$33,0),MATCH(E$1,'Parameters | Agora'!$B$24:$D$24,0))</f>
        <v>0.13900000000000001</v>
      </c>
      <c r="F14" s="44">
        <f>INDEX('Parameters | Agora'!$B$25:$D$33,MATCH($C14,'Parameters | Agora'!$A$25:$A$33,0),MATCH(F$1,'Parameters | Agora'!$B$24:$D$24,0))</f>
        <v>4.7E-2</v>
      </c>
      <c r="G14" s="44">
        <f>INDEX('Parameters | Agora'!$B$25:$D$33,MATCH($C14,'Parameters | Agora'!$A$25:$A$33,0),MATCH(G$1,'Parameters | Agora'!$B$24:$D$24,0))</f>
        <v>0.10299999999999999</v>
      </c>
      <c r="H14" s="42">
        <v>5660</v>
      </c>
      <c r="I14" s="8">
        <f>'Parameters | Agora'!$B$22</f>
        <v>1080</v>
      </c>
      <c r="J14" s="15">
        <f>'Parameters | Agora'!$B$21</f>
        <v>20</v>
      </c>
      <c r="K14" s="45">
        <f t="shared" si="2"/>
        <v>14.569259259259262</v>
      </c>
      <c r="L14" s="45">
        <f t="shared" si="0"/>
        <v>4.9262962962962957</v>
      </c>
      <c r="M14" s="45">
        <f t="shared" si="1"/>
        <v>10.795925925925927</v>
      </c>
      <c r="N14" s="46">
        <f>E14*$H14/'Parameters | Agora'!$B$19*$J14</f>
        <v>87.415555555555571</v>
      </c>
      <c r="O14" s="46">
        <f>F14*$H14/'Parameters | Agora'!$B$19*$J14</f>
        <v>29.557777777777776</v>
      </c>
      <c r="P14" s="46">
        <f>G14*$H14/'Parameters | Agora'!$B$19*$J14</f>
        <v>64.775555555555556</v>
      </c>
    </row>
    <row r="15" spans="1:16">
      <c r="A15" s="43" t="s">
        <v>370</v>
      </c>
      <c r="B15" s="43" t="s">
        <v>371</v>
      </c>
      <c r="C15" s="43" t="s">
        <v>119</v>
      </c>
      <c r="D15" s="43" t="s">
        <v>319</v>
      </c>
      <c r="E15" s="44">
        <f>INDEX('Parameters | Agora'!$B$25:$D$33,MATCH($C15,'Parameters | Agora'!$A$25:$A$33,0),MATCH(E$1,'Parameters | Agora'!$B$24:$D$24,0))</f>
        <v>0.14399999999999999</v>
      </c>
      <c r="F15" s="44">
        <f>INDEX('Parameters | Agora'!$B$25:$D$33,MATCH($C15,'Parameters | Agora'!$A$25:$A$33,0),MATCH(F$1,'Parameters | Agora'!$B$24:$D$24,0))</f>
        <v>0.106</v>
      </c>
      <c r="G15" s="44">
        <f>INDEX('Parameters | Agora'!$B$25:$D$33,MATCH($C15,'Parameters | Agora'!$A$25:$A$33,0),MATCH(G$1,'Parameters | Agora'!$B$24:$D$24,0))</f>
        <v>0.21</v>
      </c>
      <c r="H15" s="42">
        <v>240</v>
      </c>
      <c r="I15" s="8">
        <f>'Parameters | Agora'!$B$22</f>
        <v>1080</v>
      </c>
      <c r="J15" s="15">
        <f>'Parameters | Agora'!$B$21</f>
        <v>20</v>
      </c>
      <c r="K15" s="45">
        <f t="shared" si="2"/>
        <v>0.6399999999999999</v>
      </c>
      <c r="L15" s="45">
        <f t="shared" si="0"/>
        <v>0.47111111111111104</v>
      </c>
      <c r="M15" s="45">
        <f t="shared" si="1"/>
        <v>0.93333333333333335</v>
      </c>
      <c r="N15" s="46">
        <f>E15*$H15/'Parameters | Agora'!$B$19*$J15</f>
        <v>3.8399999999999994</v>
      </c>
      <c r="O15" s="46">
        <f>F15*$H15/'Parameters | Agora'!$B$19*$J15</f>
        <v>2.8266666666666662</v>
      </c>
      <c r="P15" s="46">
        <f>G15*$H15/'Parameters | Agora'!$B$19*$J15</f>
        <v>5.6</v>
      </c>
    </row>
    <row r="16" spans="1:16">
      <c r="A16" s="43" t="s">
        <v>348</v>
      </c>
      <c r="B16" s="43" t="s">
        <v>349</v>
      </c>
      <c r="C16" s="43" t="s">
        <v>115</v>
      </c>
      <c r="D16" s="43" t="s">
        <v>121</v>
      </c>
      <c r="E16" s="44">
        <f>INDEX('Parameters | Agora'!$B$25:$D$33,MATCH($C16,'Parameters | Agora'!$A$25:$A$33,0),MATCH(E$1,'Parameters | Agora'!$B$24:$D$24,0))</f>
        <v>0.13900000000000001</v>
      </c>
      <c r="F16" s="44">
        <f>INDEX('Parameters | Agora'!$B$25:$D$33,MATCH($C16,'Parameters | Agora'!$A$25:$A$33,0),MATCH(F$1,'Parameters | Agora'!$B$24:$D$24,0))</f>
        <v>4.7E-2</v>
      </c>
      <c r="G16" s="44">
        <f>INDEX('Parameters | Agora'!$B$25:$D$33,MATCH($C16,'Parameters | Agora'!$A$25:$A$33,0),MATCH(G$1,'Parameters | Agora'!$B$24:$D$24,0))</f>
        <v>0.10299999999999999</v>
      </c>
      <c r="H16" s="42">
        <v>53890</v>
      </c>
      <c r="I16" s="8">
        <f>'Parameters | Agora'!$B$22</f>
        <v>1080</v>
      </c>
      <c r="J16" s="15">
        <f>'Parameters | Agora'!$B$21</f>
        <v>20</v>
      </c>
      <c r="K16" s="45">
        <f t="shared" si="2"/>
        <v>138.71685185185189</v>
      </c>
      <c r="L16" s="45">
        <f t="shared" si="0"/>
        <v>46.904259259259256</v>
      </c>
      <c r="M16" s="45">
        <f t="shared" si="1"/>
        <v>102.79018518518519</v>
      </c>
      <c r="N16" s="46">
        <f>E16*$H16/'Parameters | Agora'!$B$19*$J16</f>
        <v>832.30111111111125</v>
      </c>
      <c r="O16" s="46">
        <f>F16*$H16/'Parameters | Agora'!$B$19*$J16</f>
        <v>281.42555555555555</v>
      </c>
      <c r="P16" s="46">
        <f>G16*$H16/'Parameters | Agora'!$B$19*$J16</f>
        <v>616.74111111111108</v>
      </c>
    </row>
    <row r="17" spans="1:16">
      <c r="A17" s="43" t="s">
        <v>352</v>
      </c>
      <c r="B17" s="43" t="s">
        <v>353</v>
      </c>
      <c r="C17" s="43" t="s">
        <v>119</v>
      </c>
      <c r="D17" s="43" t="s">
        <v>325</v>
      </c>
      <c r="E17" s="44">
        <f>INDEX('Parameters | Agora'!$B$25:$D$33,MATCH($C17,'Parameters | Agora'!$A$25:$A$33,0),MATCH(E$1,'Parameters | Agora'!$B$24:$D$24,0))</f>
        <v>0.14399999999999999</v>
      </c>
      <c r="F17" s="44">
        <f>INDEX('Parameters | Agora'!$B$25:$D$33,MATCH($C17,'Parameters | Agora'!$A$25:$A$33,0),MATCH(F$1,'Parameters | Agora'!$B$24:$D$24,0))</f>
        <v>0.106</v>
      </c>
      <c r="G17" s="44">
        <f>INDEX('Parameters | Agora'!$B$25:$D$33,MATCH($C17,'Parameters | Agora'!$A$25:$A$33,0),MATCH(G$1,'Parameters | Agora'!$B$24:$D$24,0))</f>
        <v>0.21</v>
      </c>
      <c r="H17" s="42">
        <v>1400</v>
      </c>
      <c r="I17" s="8">
        <f>'Parameters | Agora'!$B$22</f>
        <v>1080</v>
      </c>
      <c r="J17" s="15">
        <f>'Parameters | Agora'!$B$21</f>
        <v>20</v>
      </c>
      <c r="K17" s="45">
        <f t="shared" si="2"/>
        <v>3.7333333333333334</v>
      </c>
      <c r="L17" s="45">
        <f t="shared" si="0"/>
        <v>2.7481481481481485</v>
      </c>
      <c r="M17" s="45">
        <f t="shared" si="1"/>
        <v>5.4444444444444438</v>
      </c>
      <c r="N17" s="46">
        <f>E17*$H17/'Parameters | Agora'!$B$19*$J17</f>
        <v>22.4</v>
      </c>
      <c r="O17" s="46">
        <f>F17*$H17/'Parameters | Agora'!$B$19*$J17</f>
        <v>16.488888888888887</v>
      </c>
      <c r="P17" s="46">
        <f>G17*$H17/'Parameters | Agora'!$B$19*$J17</f>
        <v>32.666666666666664</v>
      </c>
    </row>
    <row r="18" spans="1:16">
      <c r="A18" s="43" t="s">
        <v>368</v>
      </c>
      <c r="B18" s="43" t="s">
        <v>369</v>
      </c>
      <c r="C18" s="43" t="s">
        <v>119</v>
      </c>
      <c r="D18" s="43" t="s">
        <v>319</v>
      </c>
      <c r="E18" s="44">
        <f>INDEX('Parameters | Agora'!$B$25:$D$33,MATCH($C18,'Parameters | Agora'!$A$25:$A$33,0),MATCH(E$1,'Parameters | Agora'!$B$24:$D$24,0))</f>
        <v>0.14399999999999999</v>
      </c>
      <c r="F18" s="44">
        <f>INDEX('Parameters | Agora'!$B$25:$D$33,MATCH($C18,'Parameters | Agora'!$A$25:$A$33,0),MATCH(F$1,'Parameters | Agora'!$B$24:$D$24,0))</f>
        <v>0.106</v>
      </c>
      <c r="G18" s="44">
        <f>INDEX('Parameters | Agora'!$B$25:$D$33,MATCH($C18,'Parameters | Agora'!$A$25:$A$33,0),MATCH(G$1,'Parameters | Agora'!$B$24:$D$24,0))</f>
        <v>0.21</v>
      </c>
      <c r="H18" s="42">
        <v>850</v>
      </c>
      <c r="I18" s="8">
        <f>'Parameters | Agora'!$B$22</f>
        <v>1080</v>
      </c>
      <c r="J18" s="15">
        <f>'Parameters | Agora'!$B$21</f>
        <v>20</v>
      </c>
      <c r="K18" s="45">
        <f t="shared" si="2"/>
        <v>2.2666666666666666</v>
      </c>
      <c r="L18" s="45">
        <f t="shared" si="0"/>
        <v>1.6685185185185183</v>
      </c>
      <c r="M18" s="45">
        <f t="shared" si="1"/>
        <v>3.3055555555555554</v>
      </c>
      <c r="N18" s="46">
        <f>E18*$H18/'Parameters | Agora'!$B$19*$J18</f>
        <v>13.599999999999998</v>
      </c>
      <c r="O18" s="46">
        <f>F18*$H18/'Parameters | Agora'!$B$19*$J18</f>
        <v>10.011111111111111</v>
      </c>
      <c r="P18" s="46">
        <f>G18*$H18/'Parameters | Agora'!$B$19*$J18</f>
        <v>19.833333333333336</v>
      </c>
    </row>
    <row r="19" spans="1:16">
      <c r="A19" s="43" t="s">
        <v>342</v>
      </c>
      <c r="B19" s="43" t="s">
        <v>343</v>
      </c>
      <c r="C19" s="43" t="s">
        <v>118</v>
      </c>
      <c r="D19" s="43" t="s">
        <v>325</v>
      </c>
      <c r="E19" s="44">
        <f>INDEX('Parameters | Agora'!$B$25:$D$33,MATCH($C19,'Parameters | Agora'!$A$25:$A$33,0),MATCH(E$1,'Parameters | Agora'!$B$24:$D$24,0))</f>
        <v>0.06</v>
      </c>
      <c r="F19" s="44">
        <f>INDEX('Parameters | Agora'!$B$25:$D$33,MATCH($C19,'Parameters | Agora'!$A$25:$A$33,0),MATCH(F$1,'Parameters | Agora'!$B$24:$D$24,0))</f>
        <v>0.05</v>
      </c>
      <c r="G19" s="44">
        <f>INDEX('Parameters | Agora'!$B$25:$D$33,MATCH($C19,'Parameters | Agora'!$A$25:$A$33,0),MATCH(G$1,'Parameters | Agora'!$B$24:$D$24,0))</f>
        <v>0.17299999999999999</v>
      </c>
      <c r="H19" s="42">
        <v>2820</v>
      </c>
      <c r="I19" s="8">
        <f>'Parameters | Agora'!$B$22</f>
        <v>1080</v>
      </c>
      <c r="J19" s="15">
        <f>'Parameters | Agora'!$B$21</f>
        <v>20</v>
      </c>
      <c r="K19" s="45">
        <f t="shared" si="2"/>
        <v>3.1333333333333329</v>
      </c>
      <c r="L19" s="45">
        <f t="shared" si="0"/>
        <v>2.6111111111111112</v>
      </c>
      <c r="M19" s="45">
        <f t="shared" si="1"/>
        <v>9.0344444444444445</v>
      </c>
      <c r="N19" s="46">
        <f>E19*$H19/'Parameters | Agora'!$B$19*$J19</f>
        <v>18.799999999999997</v>
      </c>
      <c r="O19" s="46">
        <f>F19*$H19/'Parameters | Agora'!$B$19*$J19</f>
        <v>15.666666666666666</v>
      </c>
      <c r="P19" s="46">
        <f>G19*$H19/'Parameters | Agora'!$B$19*$J19</f>
        <v>54.206666666666663</v>
      </c>
    </row>
    <row r="20" spans="1:16">
      <c r="A20" s="43" t="s">
        <v>366</v>
      </c>
      <c r="B20" s="43" t="s">
        <v>367</v>
      </c>
      <c r="C20" s="43" t="s">
        <v>115</v>
      </c>
      <c r="D20" s="43" t="s">
        <v>322</v>
      </c>
      <c r="E20" s="44">
        <f>INDEX('Parameters | Agora'!$B$25:$D$33,MATCH($C20,'Parameters | Agora'!$A$25:$A$33,0),MATCH(E$1,'Parameters | Agora'!$B$24:$D$24,0))</f>
        <v>0.13900000000000001</v>
      </c>
      <c r="F20" s="44">
        <f>INDEX('Parameters | Agora'!$B$25:$D$33,MATCH($C20,'Parameters | Agora'!$A$25:$A$33,0),MATCH(F$1,'Parameters | Agora'!$B$24:$D$24,0))</f>
        <v>4.7E-2</v>
      </c>
      <c r="G20" s="44">
        <f>INDEX('Parameters | Agora'!$B$25:$D$33,MATCH($C20,'Parameters | Agora'!$A$25:$A$33,0),MATCH(G$1,'Parameters | Agora'!$B$24:$D$24,0))</f>
        <v>0.10299999999999999</v>
      </c>
      <c r="H20" s="42">
        <v>13350</v>
      </c>
      <c r="I20" s="8">
        <f>'Parameters | Agora'!$B$22</f>
        <v>1080</v>
      </c>
      <c r="J20" s="15">
        <f>'Parameters | Agora'!$B$21</f>
        <v>20</v>
      </c>
      <c r="K20" s="45">
        <f t="shared" si="2"/>
        <v>34.363888888888894</v>
      </c>
      <c r="L20" s="45">
        <f t="shared" si="0"/>
        <v>11.619444444444444</v>
      </c>
      <c r="M20" s="45">
        <f t="shared" si="1"/>
        <v>25.463888888888885</v>
      </c>
      <c r="N20" s="46">
        <f>E20*$H20/'Parameters | Agora'!$B$19*$J20</f>
        <v>206.18333333333337</v>
      </c>
      <c r="O20" s="46">
        <f>F20*$H20/'Parameters | Agora'!$B$19*$J20</f>
        <v>69.716666666666669</v>
      </c>
      <c r="P20" s="46">
        <f>G20*$H20/'Parameters | Agora'!$B$19*$J20</f>
        <v>152.78333333333333</v>
      </c>
    </row>
    <row r="21" spans="1:16">
      <c r="A21" s="43" t="s">
        <v>690</v>
      </c>
      <c r="B21" s="43" t="s">
        <v>691</v>
      </c>
      <c r="C21" s="43" t="s">
        <v>117</v>
      </c>
      <c r="D21" s="43" t="s">
        <v>121</v>
      </c>
      <c r="E21" s="44">
        <f>INDEX('Parameters | Agora'!$B$25:$D$33,MATCH($C21,'Parameters | Agora'!$A$25:$A$33,0),MATCH(E$1,'Parameters | Agora'!$B$24:$D$24,0))</f>
        <v>0.16</v>
      </c>
      <c r="F21" s="44">
        <f>INDEX('Parameters | Agora'!$B$25:$D$33,MATCH($C21,'Parameters | Agora'!$A$25:$A$33,0),MATCH(F$1,'Parameters | Agora'!$B$24:$D$24,0))</f>
        <v>4.4999999999999998E-2</v>
      </c>
      <c r="G21" s="44">
        <f>INDEX('Parameters | Agora'!$B$25:$D$33,MATCH($C21,'Parameters | Agora'!$A$25:$A$33,0),MATCH(G$1,'Parameters | Agora'!$B$24:$D$24,0))</f>
        <v>0.105</v>
      </c>
      <c r="H21" s="42">
        <v>27720</v>
      </c>
      <c r="I21" s="8">
        <f>'Parameters | Agora'!$B$22</f>
        <v>1080</v>
      </c>
      <c r="J21" s="15">
        <f>'Parameters | Agora'!$B$21</f>
        <v>20</v>
      </c>
      <c r="K21" s="45">
        <f t="shared" si="2"/>
        <v>82.133333333333326</v>
      </c>
      <c r="L21" s="45">
        <f t="shared" si="0"/>
        <v>23.099999999999994</v>
      </c>
      <c r="M21" s="45">
        <f t="shared" si="1"/>
        <v>53.9</v>
      </c>
      <c r="N21" s="46">
        <f>E21*$H21/'Parameters | Agora'!$B$19*$J21</f>
        <v>492.8</v>
      </c>
      <c r="O21" s="46">
        <f>F21*$H21/'Parameters | Agora'!$B$19*$J21</f>
        <v>138.59999999999997</v>
      </c>
      <c r="P21" s="46">
        <f>G21*$H21/'Parameters | Agora'!$B$19*$J21</f>
        <v>323.39999999999998</v>
      </c>
    </row>
    <row r="22" spans="1:16">
      <c r="A22" s="43" t="s">
        <v>340</v>
      </c>
      <c r="B22" s="43" t="s">
        <v>341</v>
      </c>
      <c r="C22" s="43" t="s">
        <v>116</v>
      </c>
      <c r="D22" s="43" t="s">
        <v>121</v>
      </c>
      <c r="E22" s="44">
        <f>INDEX('Parameters | Agora'!$B$25:$D$33,MATCH($C22,'Parameters | Agora'!$A$25:$A$33,0),MATCH(E$1,'Parameters | Agora'!$B$24:$D$24,0))</f>
        <v>7.8E-2</v>
      </c>
      <c r="F22" s="44">
        <f>INDEX('Parameters | Agora'!$B$25:$D$33,MATCH($C22,'Parameters | Agora'!$A$25:$A$33,0),MATCH(F$1,'Parameters | Agora'!$B$24:$D$24,0))</f>
        <v>5.3999999999999999E-2</v>
      </c>
      <c r="G22" s="44">
        <f>INDEX('Parameters | Agora'!$B$25:$D$33,MATCH($C22,'Parameters | Agora'!$A$25:$A$33,0),MATCH(G$1,'Parameters | Agora'!$B$24:$D$24,0))</f>
        <v>0.159</v>
      </c>
      <c r="H22" s="42">
        <v>31520</v>
      </c>
      <c r="I22" s="8">
        <f>'Parameters | Agora'!$B$22</f>
        <v>1080</v>
      </c>
      <c r="J22" s="15">
        <f>'Parameters | Agora'!$B$21</f>
        <v>20</v>
      </c>
      <c r="K22" s="45">
        <f t="shared" si="2"/>
        <v>45.528888888888886</v>
      </c>
      <c r="L22" s="45">
        <f t="shared" si="0"/>
        <v>31.519999999999996</v>
      </c>
      <c r="M22" s="45">
        <f t="shared" si="1"/>
        <v>92.808888888888887</v>
      </c>
      <c r="N22" s="46">
        <f>E22*$H22/'Parameters | Agora'!$B$19*$J22</f>
        <v>273.17333333333335</v>
      </c>
      <c r="O22" s="46">
        <f>F22*$H22/'Parameters | Agora'!$B$19*$J22</f>
        <v>189.12</v>
      </c>
      <c r="P22" s="46">
        <f>G22*$H22/'Parameters | Agora'!$B$19*$J22</f>
        <v>556.85333333333335</v>
      </c>
    </row>
    <row r="23" spans="1:16">
      <c r="A23" s="43" t="s">
        <v>358</v>
      </c>
      <c r="B23" s="43" t="s">
        <v>359</v>
      </c>
      <c r="C23" s="43" t="s">
        <v>115</v>
      </c>
      <c r="D23" s="43" t="s">
        <v>322</v>
      </c>
      <c r="E23" s="44">
        <f>INDEX('Parameters | Agora'!$B$25:$D$33,MATCH($C23,'Parameters | Agora'!$A$25:$A$33,0),MATCH(E$1,'Parameters | Agora'!$B$24:$D$24,0))</f>
        <v>0.13900000000000001</v>
      </c>
      <c r="F23" s="44">
        <f>INDEX('Parameters | Agora'!$B$25:$D$33,MATCH($C23,'Parameters | Agora'!$A$25:$A$33,0),MATCH(F$1,'Parameters | Agora'!$B$24:$D$24,0))</f>
        <v>4.7E-2</v>
      </c>
      <c r="G23" s="44">
        <f>INDEX('Parameters | Agora'!$B$25:$D$33,MATCH($C23,'Parameters | Agora'!$A$25:$A$33,0),MATCH(G$1,'Parameters | Agora'!$B$24:$D$24,0))</f>
        <v>0.10299999999999999</v>
      </c>
      <c r="H23" s="42">
        <v>7660</v>
      </c>
      <c r="I23" s="8">
        <f>'Parameters | Agora'!$B$22</f>
        <v>1080</v>
      </c>
      <c r="J23" s="15">
        <f>'Parameters | Agora'!$B$21</f>
        <v>20</v>
      </c>
      <c r="K23" s="45">
        <f t="shared" si="2"/>
        <v>19.717407407407407</v>
      </c>
      <c r="L23" s="45">
        <f t="shared" si="0"/>
        <v>6.6670370370370371</v>
      </c>
      <c r="M23" s="45">
        <f t="shared" si="1"/>
        <v>14.61074074074074</v>
      </c>
      <c r="N23" s="46">
        <f>E23*$H23/'Parameters | Agora'!$B$19*$J23</f>
        <v>118.30444444444444</v>
      </c>
      <c r="O23" s="46">
        <f>F23*$H23/'Parameters | Agora'!$B$19*$J23</f>
        <v>40.002222222222215</v>
      </c>
      <c r="P23" s="46">
        <f>G23*$H23/'Parameters | Agora'!$B$19*$J23</f>
        <v>87.664444444444442</v>
      </c>
    </row>
    <row r="24" spans="1:16">
      <c r="A24" s="43" t="s">
        <v>346</v>
      </c>
      <c r="B24" s="43" t="s">
        <v>347</v>
      </c>
      <c r="C24" s="43" t="s">
        <v>115</v>
      </c>
      <c r="D24" s="43" t="s">
        <v>322</v>
      </c>
      <c r="E24" s="44">
        <f>INDEX('Parameters | Agora'!$B$25:$D$33,MATCH($C24,'Parameters | Agora'!$A$25:$A$33,0),MATCH(E$1,'Parameters | Agora'!$B$24:$D$24,0))</f>
        <v>0.13900000000000001</v>
      </c>
      <c r="F24" s="44">
        <f>INDEX('Parameters | Agora'!$B$25:$D$33,MATCH($C24,'Parameters | Agora'!$A$25:$A$33,0),MATCH(F$1,'Parameters | Agora'!$B$24:$D$24,0))</f>
        <v>4.7E-2</v>
      </c>
      <c r="G24" s="44">
        <f>INDEX('Parameters | Agora'!$B$25:$D$33,MATCH($C24,'Parameters | Agora'!$A$25:$A$33,0),MATCH(G$1,'Parameters | Agora'!$B$24:$D$24,0))</f>
        <v>0.10299999999999999</v>
      </c>
      <c r="H24" s="42">
        <v>7210</v>
      </c>
      <c r="I24" s="8">
        <f>'Parameters | Agora'!$B$22</f>
        <v>1080</v>
      </c>
      <c r="J24" s="15">
        <f>'Parameters | Agora'!$B$21</f>
        <v>20</v>
      </c>
      <c r="K24" s="45">
        <f t="shared" si="2"/>
        <v>18.559074074074076</v>
      </c>
      <c r="L24" s="45">
        <f t="shared" si="0"/>
        <v>6.2753703703703696</v>
      </c>
      <c r="M24" s="45">
        <f t="shared" si="1"/>
        <v>13.752407407407407</v>
      </c>
      <c r="N24" s="46">
        <f>E24*$H24/'Parameters | Agora'!$B$19*$J24</f>
        <v>111.35444444444445</v>
      </c>
      <c r="O24" s="46">
        <f>F24*$H24/'Parameters | Agora'!$B$19*$J24</f>
        <v>37.652222222222221</v>
      </c>
      <c r="P24" s="46">
        <f>G24*$H24/'Parameters | Agora'!$B$19*$J24</f>
        <v>82.51444444444445</v>
      </c>
    </row>
    <row r="25" spans="1:16">
      <c r="A25" s="43" t="s">
        <v>350</v>
      </c>
      <c r="B25" s="43" t="s">
        <v>351</v>
      </c>
      <c r="C25" s="43" t="s">
        <v>116</v>
      </c>
      <c r="D25" s="43" t="s">
        <v>322</v>
      </c>
      <c r="E25" s="44">
        <f>INDEX('Parameters | Agora'!$B$25:$D$33,MATCH($C25,'Parameters | Agora'!$A$25:$A$33,0),MATCH(E$1,'Parameters | Agora'!$B$24:$D$24,0))</f>
        <v>7.8E-2</v>
      </c>
      <c r="F25" s="44">
        <f>INDEX('Parameters | Agora'!$B$25:$D$33,MATCH($C25,'Parameters | Agora'!$A$25:$A$33,0),MATCH(F$1,'Parameters | Agora'!$B$24:$D$24,0))</f>
        <v>5.3999999999999999E-2</v>
      </c>
      <c r="G25" s="44">
        <f>INDEX('Parameters | Agora'!$B$25:$D$33,MATCH($C25,'Parameters | Agora'!$A$25:$A$33,0),MATCH(G$1,'Parameters | Agora'!$B$24:$D$24,0))</f>
        <v>0.159</v>
      </c>
      <c r="H25" s="42">
        <v>6630</v>
      </c>
      <c r="I25" s="8">
        <f>'Parameters | Agora'!$B$22</f>
        <v>1080</v>
      </c>
      <c r="J25" s="15">
        <f>'Parameters | Agora'!$B$21</f>
        <v>20</v>
      </c>
      <c r="K25" s="45">
        <f t="shared" si="2"/>
        <v>9.5766666666666662</v>
      </c>
      <c r="L25" s="45">
        <f t="shared" si="0"/>
        <v>6.629999999999999</v>
      </c>
      <c r="M25" s="45">
        <f t="shared" si="1"/>
        <v>19.521666666666668</v>
      </c>
      <c r="N25" s="46">
        <f>E25*$H25/'Parameters | Agora'!$B$19*$J25</f>
        <v>57.459999999999994</v>
      </c>
      <c r="O25" s="46">
        <f>F25*$H25/'Parameters | Agora'!$B$19*$J25</f>
        <v>39.78</v>
      </c>
      <c r="P25" s="46">
        <f>G25*$H25/'Parameters | Agora'!$B$19*$J25</f>
        <v>117.13000000000001</v>
      </c>
    </row>
    <row r="26" spans="1:16">
      <c r="A26" s="43" t="s">
        <v>692</v>
      </c>
      <c r="B26" s="43" t="s">
        <v>693</v>
      </c>
      <c r="C26" s="43" t="s">
        <v>120</v>
      </c>
      <c r="D26" s="43" t="s">
        <v>121</v>
      </c>
      <c r="E26" s="44">
        <f>INDEX('Parameters | Agora'!$B$25:$D$33,MATCH($C26,'Parameters | Agora'!$A$25:$A$33,0),MATCH(E$1,'Parameters | Agora'!$B$24:$D$24,0))</f>
        <v>4.9000000000000002E-2</v>
      </c>
      <c r="F26" s="44">
        <f>INDEX('Parameters | Agora'!$B$25:$D$33,MATCH($C26,'Parameters | Agora'!$A$25:$A$33,0),MATCH(F$1,'Parameters | Agora'!$B$24:$D$24,0))</f>
        <v>6.6000000000000003E-2</v>
      </c>
      <c r="G26" s="44">
        <f>INDEX('Parameters | Agora'!$B$25:$D$33,MATCH($C26,'Parameters | Agora'!$A$25:$A$33,0),MATCH(G$1,'Parameters | Agora'!$B$24:$D$24,0))</f>
        <v>0.111</v>
      </c>
      <c r="H26" s="42">
        <v>125210</v>
      </c>
      <c r="I26" s="8">
        <f>'Parameters | Agora'!$B$22</f>
        <v>1080</v>
      </c>
      <c r="J26" s="15">
        <f>'Parameters | Agora'!$B$21</f>
        <v>20</v>
      </c>
      <c r="K26" s="45">
        <f t="shared" si="2"/>
        <v>113.61648148148149</v>
      </c>
      <c r="L26" s="45">
        <f t="shared" si="0"/>
        <v>153.03444444444446</v>
      </c>
      <c r="M26" s="45">
        <f t="shared" si="1"/>
        <v>257.37611111111113</v>
      </c>
      <c r="N26" s="46">
        <f>E26*$H26/'Parameters | Agora'!$B$19*$J26</f>
        <v>681.69888888888886</v>
      </c>
      <c r="O26" s="46">
        <f>F26*$H26/'Parameters | Agora'!$B$19*$J26</f>
        <v>918.20666666666671</v>
      </c>
      <c r="P26" s="46">
        <f>G26*$H26/'Parameters | Agora'!$B$19*$J26</f>
        <v>1544.2566666666667</v>
      </c>
    </row>
    <row r="27" spans="1:16">
      <c r="A27" s="43" t="s">
        <v>356</v>
      </c>
      <c r="B27" s="43" t="s">
        <v>357</v>
      </c>
      <c r="C27" s="43" t="s">
        <v>116</v>
      </c>
      <c r="D27" s="43" t="s">
        <v>325</v>
      </c>
      <c r="E27" s="44">
        <f>INDEX('Parameters | Agora'!$B$25:$D$33,MATCH($C27,'Parameters | Agora'!$A$25:$A$33,0),MATCH(E$1,'Parameters | Agora'!$B$24:$D$24,0))</f>
        <v>7.8E-2</v>
      </c>
      <c r="F27" s="44">
        <f>INDEX('Parameters | Agora'!$B$25:$D$33,MATCH($C27,'Parameters | Agora'!$A$25:$A$33,0),MATCH(F$1,'Parameters | Agora'!$B$24:$D$24,0))</f>
        <v>5.3999999999999999E-2</v>
      </c>
      <c r="G27" s="44">
        <f>INDEX('Parameters | Agora'!$B$25:$D$33,MATCH($C27,'Parameters | Agora'!$A$25:$A$33,0),MATCH(G$1,'Parameters | Agora'!$B$24:$D$24,0))</f>
        <v>0.159</v>
      </c>
      <c r="H27" s="42">
        <v>3490</v>
      </c>
      <c r="I27" s="8">
        <f>'Parameters | Agora'!$B$22</f>
        <v>1080</v>
      </c>
      <c r="J27" s="15">
        <f>'Parameters | Agora'!$B$21</f>
        <v>20</v>
      </c>
      <c r="K27" s="45">
        <f t="shared" si="2"/>
        <v>5.0411111111111122</v>
      </c>
      <c r="L27" s="45">
        <f t="shared" si="0"/>
        <v>3.49</v>
      </c>
      <c r="M27" s="45">
        <f t="shared" si="1"/>
        <v>10.27611111111111</v>
      </c>
      <c r="N27" s="46">
        <f>E27*$H27/'Parameters | Agora'!$B$19*$J27</f>
        <v>30.24666666666667</v>
      </c>
      <c r="O27" s="46">
        <f>F27*$H27/'Parameters | Agora'!$B$19*$J27</f>
        <v>20.940000000000005</v>
      </c>
      <c r="P27" s="46">
        <f>G27*$H27/'Parameters | Agora'!$B$19*$J27</f>
        <v>61.656666666666666</v>
      </c>
    </row>
    <row r="28" spans="1:16">
      <c r="A28" s="43" t="s">
        <v>362</v>
      </c>
      <c r="B28" s="43" t="s">
        <v>363</v>
      </c>
      <c r="C28" s="43" t="s">
        <v>116</v>
      </c>
      <c r="D28" s="43" t="s">
        <v>322</v>
      </c>
      <c r="E28" s="44">
        <f>INDEX('Parameters | Agora'!$B$25:$D$33,MATCH($C28,'Parameters | Agora'!$A$25:$A$33,0),MATCH(E$1,'Parameters | Agora'!$B$24:$D$24,0))</f>
        <v>7.8E-2</v>
      </c>
      <c r="F28" s="44">
        <f>INDEX('Parameters | Agora'!$B$25:$D$33,MATCH($C28,'Parameters | Agora'!$A$25:$A$33,0),MATCH(F$1,'Parameters | Agora'!$B$24:$D$24,0))</f>
        <v>5.3999999999999999E-2</v>
      </c>
      <c r="G28" s="44">
        <f>INDEX('Parameters | Agora'!$B$25:$D$33,MATCH($C28,'Parameters | Agora'!$A$25:$A$33,0),MATCH(G$1,'Parameters | Agora'!$B$24:$D$24,0))</f>
        <v>0.159</v>
      </c>
      <c r="H28" s="42">
        <v>8140</v>
      </c>
      <c r="I28" s="8">
        <f>'Parameters | Agora'!$B$22</f>
        <v>1080</v>
      </c>
      <c r="J28" s="15">
        <f>'Parameters | Agora'!$B$21</f>
        <v>20</v>
      </c>
      <c r="K28" s="45">
        <f t="shared" si="2"/>
        <v>11.757777777777779</v>
      </c>
      <c r="L28" s="45">
        <f t="shared" si="0"/>
        <v>8.14</v>
      </c>
      <c r="M28" s="45">
        <f t="shared" si="1"/>
        <v>23.96777777777778</v>
      </c>
      <c r="N28" s="46">
        <f>E28*$H28/'Parameters | Agora'!$B$19*$J28</f>
        <v>70.546666666666653</v>
      </c>
      <c r="O28" s="46">
        <f>F28*$H28/'Parameters | Agora'!$B$19*$J28</f>
        <v>48.84</v>
      </c>
      <c r="P28" s="46">
        <f>G28*$H28/'Parameters | Agora'!$B$19*$J28</f>
        <v>143.80666666666667</v>
      </c>
    </row>
    <row r="29" spans="1:16">
      <c r="A29" s="43" t="s">
        <v>344</v>
      </c>
      <c r="B29" s="43" t="s">
        <v>345</v>
      </c>
      <c r="C29" s="43" t="s">
        <v>116</v>
      </c>
      <c r="D29" s="43" t="s">
        <v>121</v>
      </c>
      <c r="E29" s="44">
        <f>INDEX('Parameters | Agora'!$B$25:$D$33,MATCH($C29,'Parameters | Agora'!$A$25:$A$33,0),MATCH(E$1,'Parameters | Agora'!$B$24:$D$24,0))</f>
        <v>7.8E-2</v>
      </c>
      <c r="F29" s="44">
        <f>INDEX('Parameters | Agora'!$B$25:$D$33,MATCH($C29,'Parameters | Agora'!$A$25:$A$33,0),MATCH(F$1,'Parameters | Agora'!$B$24:$D$24,0))</f>
        <v>5.3999999999999999E-2</v>
      </c>
      <c r="G29" s="44">
        <f>INDEX('Parameters | Agora'!$B$25:$D$33,MATCH($C29,'Parameters | Agora'!$A$25:$A$33,0),MATCH(G$1,'Parameters | Agora'!$B$24:$D$24,0))</f>
        <v>0.159</v>
      </c>
      <c r="H29" s="42">
        <v>19490</v>
      </c>
      <c r="I29" s="8">
        <f>'Parameters | Agora'!$B$22</f>
        <v>1080</v>
      </c>
      <c r="J29" s="15">
        <f>'Parameters | Agora'!$B$21</f>
        <v>20</v>
      </c>
      <c r="K29" s="45">
        <f t="shared" si="2"/>
        <v>28.152222222222221</v>
      </c>
      <c r="L29" s="45">
        <f t="shared" si="0"/>
        <v>19.490000000000002</v>
      </c>
      <c r="M29" s="45">
        <f t="shared" si="1"/>
        <v>57.387222222222221</v>
      </c>
      <c r="N29" s="46">
        <f>E29*$H29/'Parameters | Agora'!$B$19*$J29</f>
        <v>168.91333333333333</v>
      </c>
      <c r="O29" s="46">
        <f>F29*$H29/'Parameters | Agora'!$B$19*$J29</f>
        <v>116.94000000000001</v>
      </c>
      <c r="P29" s="46">
        <f>G29*$H29/'Parameters | Agora'!$B$19*$J29</f>
        <v>344.32333333333332</v>
      </c>
    </row>
    <row r="30" spans="1:16">
      <c r="A30" s="43" t="s">
        <v>364</v>
      </c>
      <c r="B30" s="43" t="s">
        <v>365</v>
      </c>
      <c r="C30" s="43" t="s">
        <v>114</v>
      </c>
      <c r="D30" s="43" t="s">
        <v>121</v>
      </c>
      <c r="E30" s="44">
        <f>INDEX('Parameters | Agora'!$B$25:$D$33,MATCH($C30,'Parameters | Agora'!$A$25:$A$33,0),MATCH(E$1,'Parameters | Agora'!$B$24:$D$24,0))</f>
        <v>0.13600000000000001</v>
      </c>
      <c r="F30" s="44">
        <f>INDEX('Parameters | Agora'!$B$25:$D$33,MATCH($C30,'Parameters | Agora'!$A$25:$A$33,0),MATCH(F$1,'Parameters | Agora'!$B$24:$D$24,0))</f>
        <v>5.2999999999999999E-2</v>
      </c>
      <c r="G30" s="44">
        <f>INDEX('Parameters | Agora'!$B$25:$D$33,MATCH($C30,'Parameters | Agora'!$A$25:$A$33,0),MATCH(G$1,'Parameters | Agora'!$B$24:$D$24,0))</f>
        <v>0.14799999999999999</v>
      </c>
      <c r="H30" s="42">
        <v>31410</v>
      </c>
      <c r="I30" s="8">
        <f>'Parameters | Agora'!$B$22</f>
        <v>1080</v>
      </c>
      <c r="J30" s="15">
        <f>'Parameters | Agora'!$B$21</f>
        <v>20</v>
      </c>
      <c r="K30" s="45">
        <f t="shared" si="2"/>
        <v>79.106666666666669</v>
      </c>
      <c r="L30" s="45">
        <f t="shared" si="0"/>
        <v>30.828333333333333</v>
      </c>
      <c r="M30" s="45">
        <f t="shared" si="1"/>
        <v>86.086666666666659</v>
      </c>
      <c r="N30" s="46">
        <f>E30*$H30/'Parameters | Agora'!$B$19*$J30</f>
        <v>474.64000000000004</v>
      </c>
      <c r="O30" s="46">
        <f>F30*$H30/'Parameters | Agora'!$B$19*$J30</f>
        <v>184.97</v>
      </c>
      <c r="P30" s="46">
        <f>G30*$H30/'Parameters | Agora'!$B$19*$J30</f>
        <v>516.52</v>
      </c>
    </row>
    <row r="31" spans="1:16">
      <c r="A31" s="43" t="s">
        <v>354</v>
      </c>
      <c r="B31" s="43" t="s">
        <v>355</v>
      </c>
      <c r="C31" s="43" t="s">
        <v>118</v>
      </c>
      <c r="D31" s="43" t="s">
        <v>325</v>
      </c>
      <c r="E31" s="44">
        <f>INDEX('Parameters | Agora'!$B$25:$D$33,MATCH($C31,'Parameters | Agora'!$A$25:$A$33,0),MATCH(E$1,'Parameters | Agora'!$B$24:$D$24,0))</f>
        <v>0.06</v>
      </c>
      <c r="F31" s="44">
        <f>INDEX('Parameters | Agora'!$B$25:$D$33,MATCH($C31,'Parameters | Agora'!$A$25:$A$33,0),MATCH(F$1,'Parameters | Agora'!$B$24:$D$24,0))</f>
        <v>0.05</v>
      </c>
      <c r="G31" s="44">
        <f>INDEX('Parameters | Agora'!$B$25:$D$33,MATCH($C31,'Parameters | Agora'!$A$25:$A$33,0),MATCH(G$1,'Parameters | Agora'!$B$24:$D$24,0))</f>
        <v>0.17299999999999999</v>
      </c>
      <c r="H31" s="42">
        <v>3290</v>
      </c>
      <c r="I31" s="8">
        <f>'Parameters | Agora'!$B$22</f>
        <v>1080</v>
      </c>
      <c r="J31" s="15">
        <f>'Parameters | Agora'!$B$21</f>
        <v>20</v>
      </c>
      <c r="K31" s="45">
        <f t="shared" si="2"/>
        <v>3.6555555555555559</v>
      </c>
      <c r="L31" s="45">
        <f t="shared" si="0"/>
        <v>3.0462962962962963</v>
      </c>
      <c r="M31" s="45">
        <f t="shared" si="1"/>
        <v>10.540185185185184</v>
      </c>
      <c r="N31" s="46">
        <f>E31*$H31/'Parameters | Agora'!$B$19*$J31</f>
        <v>21.933333333333334</v>
      </c>
      <c r="O31" s="46">
        <f>F31*$H31/'Parameters | Agora'!$B$19*$J31</f>
        <v>18.277777777777779</v>
      </c>
      <c r="P31" s="46">
        <f>G31*$H31/'Parameters | Agora'!$B$19*$J31</f>
        <v>63.24111111111111</v>
      </c>
    </row>
    <row r="32" spans="1:16">
      <c r="A32" s="43" t="s">
        <v>360</v>
      </c>
      <c r="B32" s="43" t="s">
        <v>361</v>
      </c>
      <c r="C32" s="43" t="s">
        <v>119</v>
      </c>
      <c r="D32" s="43" t="s">
        <v>322</v>
      </c>
      <c r="E32" s="44">
        <f>INDEX('Parameters | Agora'!$B$25:$D$33,MATCH($C32,'Parameters | Agora'!$A$25:$A$33,0),MATCH(E$1,'Parameters | Agora'!$B$24:$D$24,0))</f>
        <v>0.14399999999999999</v>
      </c>
      <c r="F32" s="44">
        <f>INDEX('Parameters | Agora'!$B$25:$D$33,MATCH($C32,'Parameters | Agora'!$A$25:$A$33,0),MATCH(F$1,'Parameters | Agora'!$B$24:$D$24,0))</f>
        <v>0.106</v>
      </c>
      <c r="G32" s="44">
        <f>INDEX('Parameters | Agora'!$B$25:$D$33,MATCH($C32,'Parameters | Agora'!$A$25:$A$33,0),MATCH(G$1,'Parameters | Agora'!$B$24:$D$24,0))</f>
        <v>0.21</v>
      </c>
      <c r="H32" s="42">
        <v>7430</v>
      </c>
      <c r="I32" s="8">
        <f>'Parameters | Agora'!$B$22</f>
        <v>1080</v>
      </c>
      <c r="J32" s="15">
        <f>'Parameters | Agora'!$B$21</f>
        <v>20</v>
      </c>
      <c r="K32" s="45">
        <f t="shared" si="2"/>
        <v>19.813333333333329</v>
      </c>
      <c r="L32" s="45">
        <f t="shared" si="0"/>
        <v>14.584814814814813</v>
      </c>
      <c r="M32" s="45">
        <f t="shared" si="1"/>
        <v>28.894444444444446</v>
      </c>
      <c r="N32" s="46">
        <f>E32*$H32/'Parameters | Agora'!$B$19*$J32</f>
        <v>118.87999999999998</v>
      </c>
      <c r="O32" s="46">
        <f>F32*$H32/'Parameters | Agora'!$B$19*$J32</f>
        <v>87.508888888888876</v>
      </c>
      <c r="P32" s="46">
        <f>G32*$H32/'Parameters | Agora'!$B$19*$J32</f>
        <v>173.36666666666667</v>
      </c>
    </row>
    <row r="33" spans="1:16">
      <c r="A33" s="43" t="s">
        <v>380</v>
      </c>
      <c r="B33" s="43" t="s">
        <v>381</v>
      </c>
      <c r="C33" s="43" t="s">
        <v>119</v>
      </c>
      <c r="D33" s="43" t="s">
        <v>319</v>
      </c>
      <c r="E33" s="44">
        <f>INDEX('Parameters | Agora'!$B$25:$D$33,MATCH($C33,'Parameters | Agora'!$A$25:$A$33,0),MATCH(E$1,'Parameters | Agora'!$B$24:$D$24,0))</f>
        <v>0.14399999999999999</v>
      </c>
      <c r="F33" s="44">
        <f>INDEX('Parameters | Agora'!$B$25:$D$33,MATCH($C33,'Parameters | Agora'!$A$25:$A$33,0),MATCH(F$1,'Parameters | Agora'!$B$24:$D$24,0))</f>
        <v>0.106</v>
      </c>
      <c r="G33" s="44">
        <f>INDEX('Parameters | Agora'!$B$25:$D$33,MATCH($C33,'Parameters | Agora'!$A$25:$A$33,0),MATCH(G$1,'Parameters | Agora'!$B$24:$D$24,0))</f>
        <v>0.21</v>
      </c>
      <c r="H33" s="42">
        <v>480</v>
      </c>
      <c r="I33" s="8">
        <f>'Parameters | Agora'!$B$22</f>
        <v>1080</v>
      </c>
      <c r="J33" s="15">
        <f>'Parameters | Agora'!$B$21</f>
        <v>20</v>
      </c>
      <c r="K33" s="45">
        <f t="shared" si="2"/>
        <v>1.2799999999999998</v>
      </c>
      <c r="L33" s="45">
        <f t="shared" si="0"/>
        <v>0.94222222222222207</v>
      </c>
      <c r="M33" s="45">
        <f t="shared" si="1"/>
        <v>1.8666666666666667</v>
      </c>
      <c r="N33" s="46">
        <f>E33*$H33/'Parameters | Agora'!$B$19*$J33</f>
        <v>7.6799999999999988</v>
      </c>
      <c r="O33" s="46">
        <f>F33*$H33/'Parameters | Agora'!$B$19*$J33</f>
        <v>5.6533333333333324</v>
      </c>
      <c r="P33" s="46">
        <f>G33*$H33/'Parameters | Agora'!$B$19*$J33</f>
        <v>11.2</v>
      </c>
    </row>
    <row r="34" spans="1:16">
      <c r="A34" s="43" t="s">
        <v>378</v>
      </c>
      <c r="B34" s="43" t="s">
        <v>379</v>
      </c>
      <c r="C34" s="43" t="s">
        <v>120</v>
      </c>
      <c r="D34" s="43" t="s">
        <v>121</v>
      </c>
      <c r="E34" s="44">
        <f>INDEX('Parameters | Agora'!$B$25:$D$33,MATCH($C34,'Parameters | Agora'!$A$25:$A$33,0),MATCH(E$1,'Parameters | Agora'!$B$24:$D$24,0))</f>
        <v>4.9000000000000002E-2</v>
      </c>
      <c r="F34" s="44">
        <f>INDEX('Parameters | Agora'!$B$25:$D$33,MATCH($C34,'Parameters | Agora'!$A$25:$A$33,0),MATCH(F$1,'Parameters | Agora'!$B$24:$D$24,0))</f>
        <v>6.6000000000000003E-2</v>
      </c>
      <c r="G34" s="44">
        <f>INDEX('Parameters | Agora'!$B$25:$D$33,MATCH($C34,'Parameters | Agora'!$A$25:$A$33,0),MATCH(G$1,'Parameters | Agora'!$B$24:$D$24,0))</f>
        <v>0.111</v>
      </c>
      <c r="H34" s="42">
        <v>52960</v>
      </c>
      <c r="I34" s="8">
        <f>'Parameters | Agora'!$B$22</f>
        <v>1080</v>
      </c>
      <c r="J34" s="15">
        <f>'Parameters | Agora'!$B$21</f>
        <v>20</v>
      </c>
      <c r="K34" s="45">
        <f t="shared" si="2"/>
        <v>48.056296296296296</v>
      </c>
      <c r="L34" s="45">
        <f t="shared" si="0"/>
        <v>64.728888888888889</v>
      </c>
      <c r="M34" s="45">
        <f t="shared" si="1"/>
        <v>108.86222222222223</v>
      </c>
      <c r="N34" s="46">
        <f>E34*$H34/'Parameters | Agora'!$B$19*$J34</f>
        <v>288.33777777777777</v>
      </c>
      <c r="O34" s="46">
        <f>F34*$H34/'Parameters | Agora'!$B$19*$J34</f>
        <v>388.37333333333333</v>
      </c>
      <c r="P34" s="46">
        <f>G34*$H34/'Parameters | Agora'!$B$19*$J34</f>
        <v>653.1733333333334</v>
      </c>
    </row>
    <row r="35" spans="1:16">
      <c r="A35" s="43" t="s">
        <v>630</v>
      </c>
      <c r="B35" s="43" t="s">
        <v>631</v>
      </c>
      <c r="C35" s="43" t="s">
        <v>115</v>
      </c>
      <c r="D35" s="43" t="s">
        <v>121</v>
      </c>
      <c r="E35" s="44">
        <f>INDEX('Parameters | Agora'!$B$25:$D$33,MATCH($C35,'Parameters | Agora'!$A$25:$A$33,0),MATCH(E$1,'Parameters | Agora'!$B$24:$D$24,0))</f>
        <v>0.13900000000000001</v>
      </c>
      <c r="F35" s="44">
        <f>INDEX('Parameters | Agora'!$B$25:$D$33,MATCH($C35,'Parameters | Agora'!$A$25:$A$33,0),MATCH(F$1,'Parameters | Agora'!$B$24:$D$24,0))</f>
        <v>4.7E-2</v>
      </c>
      <c r="G35" s="44">
        <f>INDEX('Parameters | Agora'!$B$25:$D$33,MATCH($C35,'Parameters | Agora'!$A$25:$A$33,0),MATCH(G$1,'Parameters | Agora'!$B$24:$D$24,0))</f>
        <v>0.10299999999999999</v>
      </c>
      <c r="H35" s="42">
        <v>95490</v>
      </c>
      <c r="I35" s="8">
        <f>'Parameters | Agora'!$B$22</f>
        <v>1080</v>
      </c>
      <c r="J35" s="15">
        <f>'Parameters | Agora'!$B$21</f>
        <v>20</v>
      </c>
      <c r="K35" s="45">
        <f t="shared" si="2"/>
        <v>245.79833333333335</v>
      </c>
      <c r="L35" s="45">
        <f t="shared" si="0"/>
        <v>83.111666666666665</v>
      </c>
      <c r="M35" s="45">
        <f t="shared" si="1"/>
        <v>182.13833333333332</v>
      </c>
      <c r="N35" s="46">
        <f>E35*$H35/'Parameters | Agora'!$B$19*$J35</f>
        <v>1474.7900000000002</v>
      </c>
      <c r="O35" s="46">
        <f>F35*$H35/'Parameters | Agora'!$B$19*$J35</f>
        <v>498.66999999999996</v>
      </c>
      <c r="P35" s="46">
        <f>G35*$H35/'Parameters | Agora'!$B$19*$J35</f>
        <v>1092.83</v>
      </c>
    </row>
    <row r="36" spans="1:16">
      <c r="A36" s="43" t="s">
        <v>742</v>
      </c>
      <c r="B36" s="43" t="s">
        <v>743</v>
      </c>
      <c r="C36" s="43" t="s">
        <v>115</v>
      </c>
      <c r="D36" s="43" t="s">
        <v>121</v>
      </c>
      <c r="E36" s="44">
        <f>INDEX('Parameters | Agora'!$B$25:$D$33,MATCH($C36,'Parameters | Agora'!$A$25:$A$33,0),MATCH(E$1,'Parameters | Agora'!$B$24:$D$24,0))</f>
        <v>0.13900000000000001</v>
      </c>
      <c r="F36" s="44">
        <f>INDEX('Parameters | Agora'!$B$25:$D$33,MATCH($C36,'Parameters | Agora'!$A$25:$A$33,0),MATCH(F$1,'Parameters | Agora'!$B$24:$D$24,0))</f>
        <v>4.7E-2</v>
      </c>
      <c r="G36" s="44">
        <f>INDEX('Parameters | Agora'!$B$25:$D$33,MATCH($C36,'Parameters | Agora'!$A$25:$A$33,0),MATCH(G$1,'Parameters | Agora'!$B$24:$D$24,0))</f>
        <v>0.10299999999999999</v>
      </c>
      <c r="H36" s="42">
        <v>51299.482727272727</v>
      </c>
      <c r="I36" s="8">
        <f>'Parameters | Agora'!$B$22</f>
        <v>1080</v>
      </c>
      <c r="J36" s="15">
        <f>'Parameters | Agora'!$B$21</f>
        <v>20</v>
      </c>
      <c r="K36" s="45">
        <f t="shared" si="2"/>
        <v>132.04866850168352</v>
      </c>
      <c r="L36" s="45">
        <f t="shared" si="0"/>
        <v>44.649549781144785</v>
      </c>
      <c r="M36" s="45">
        <f t="shared" si="1"/>
        <v>97.849013350168335</v>
      </c>
      <c r="N36" s="46">
        <f>E36*$H36/'Parameters | Agora'!$B$19*$J36</f>
        <v>792.29201101010108</v>
      </c>
      <c r="O36" s="46">
        <f>F36*$H36/'Parameters | Agora'!$B$19*$J36</f>
        <v>267.89729868686868</v>
      </c>
      <c r="P36" s="46">
        <f>G36*$H36/'Parameters | Agora'!$B$19*$J36</f>
        <v>587.09408010101004</v>
      </c>
    </row>
    <row r="37" spans="1:16">
      <c r="A37" s="43" t="s">
        <v>384</v>
      </c>
      <c r="B37" s="43" t="s">
        <v>385</v>
      </c>
      <c r="C37" s="43" t="s">
        <v>116</v>
      </c>
      <c r="D37" s="43" t="s">
        <v>121</v>
      </c>
      <c r="E37" s="44">
        <f>INDEX('Parameters | Agora'!$B$25:$D$33,MATCH($C37,'Parameters | Agora'!$A$25:$A$33,0),MATCH(E$1,'Parameters | Agora'!$B$24:$D$24,0))</f>
        <v>7.8E-2</v>
      </c>
      <c r="F37" s="44">
        <f>INDEX('Parameters | Agora'!$B$25:$D$33,MATCH($C37,'Parameters | Agora'!$A$25:$A$33,0),MATCH(F$1,'Parameters | Agora'!$B$24:$D$24,0))</f>
        <v>5.3999999999999999E-2</v>
      </c>
      <c r="G37" s="44">
        <f>INDEX('Parameters | Agora'!$B$25:$D$33,MATCH($C37,'Parameters | Agora'!$A$25:$A$33,0),MATCH(G$1,'Parameters | Agora'!$B$24:$D$24,0))</f>
        <v>0.159</v>
      </c>
      <c r="H37" s="42">
        <v>15360</v>
      </c>
      <c r="I37" s="8">
        <f>'Parameters | Agora'!$B$22</f>
        <v>1080</v>
      </c>
      <c r="J37" s="15">
        <f>'Parameters | Agora'!$B$21</f>
        <v>20</v>
      </c>
      <c r="K37" s="45">
        <f t="shared" si="2"/>
        <v>22.186666666666667</v>
      </c>
      <c r="L37" s="45">
        <f t="shared" si="0"/>
        <v>15.359999999999998</v>
      </c>
      <c r="M37" s="45">
        <f t="shared" si="1"/>
        <v>45.226666666666667</v>
      </c>
      <c r="N37" s="46">
        <f>E37*$H37/'Parameters | Agora'!$B$19*$J37</f>
        <v>133.12</v>
      </c>
      <c r="O37" s="46">
        <f>F37*$H37/'Parameters | Agora'!$B$19*$J37</f>
        <v>92.16</v>
      </c>
      <c r="P37" s="46">
        <f>G37*$H37/'Parameters | Agora'!$B$19*$J37</f>
        <v>271.36</v>
      </c>
    </row>
    <row r="38" spans="1:16">
      <c r="A38" s="43" t="s">
        <v>386</v>
      </c>
      <c r="B38" s="43" t="s">
        <v>387</v>
      </c>
      <c r="C38" s="43" t="s">
        <v>114</v>
      </c>
      <c r="D38" s="43" t="s">
        <v>322</v>
      </c>
      <c r="E38" s="44">
        <f>INDEX('Parameters | Agora'!$B$25:$D$33,MATCH($C38,'Parameters | Agora'!$A$25:$A$33,0),MATCH(E$1,'Parameters | Agora'!$B$24:$D$24,0))</f>
        <v>0.13600000000000001</v>
      </c>
      <c r="F38" s="44">
        <f>INDEX('Parameters | Agora'!$B$25:$D$33,MATCH($C38,'Parameters | Agora'!$A$25:$A$33,0),MATCH(F$1,'Parameters | Agora'!$B$24:$D$24,0))</f>
        <v>5.2999999999999999E-2</v>
      </c>
      <c r="G38" s="44">
        <f>INDEX('Parameters | Agora'!$B$25:$D$33,MATCH($C38,'Parameters | Agora'!$A$25:$A$33,0),MATCH(G$1,'Parameters | Agora'!$B$24:$D$24,0))</f>
        <v>0.14799999999999999</v>
      </c>
      <c r="H38" s="42">
        <v>12850</v>
      </c>
      <c r="I38" s="8">
        <f>'Parameters | Agora'!$B$22</f>
        <v>1080</v>
      </c>
      <c r="J38" s="15">
        <f>'Parameters | Agora'!$B$21</f>
        <v>20</v>
      </c>
      <c r="K38" s="45">
        <f t="shared" si="2"/>
        <v>32.362962962962968</v>
      </c>
      <c r="L38" s="45">
        <f t="shared" si="0"/>
        <v>12.612037037037036</v>
      </c>
      <c r="M38" s="45">
        <f t="shared" si="1"/>
        <v>35.218518518518515</v>
      </c>
      <c r="N38" s="46">
        <f>E38*$H38/'Parameters | Agora'!$B$19*$J38</f>
        <v>194.17777777777781</v>
      </c>
      <c r="O38" s="46">
        <f>F38*$H38/'Parameters | Agora'!$B$19*$J38</f>
        <v>75.672222222222217</v>
      </c>
      <c r="P38" s="46">
        <f>G38*$H38/'Parameters | Agora'!$B$19*$J38</f>
        <v>211.3111111111111</v>
      </c>
    </row>
    <row r="39" spans="1:16">
      <c r="A39" s="43" t="s">
        <v>744</v>
      </c>
      <c r="B39" s="43" t="s">
        <v>399</v>
      </c>
      <c r="C39" s="43" t="s">
        <v>119</v>
      </c>
      <c r="D39" s="43" t="s">
        <v>325</v>
      </c>
      <c r="E39" s="44">
        <f>INDEX('Parameters | Agora'!$B$25:$D$33,MATCH($C39,'Parameters | Agora'!$A$25:$A$33,0),MATCH(E$1,'Parameters | Agora'!$B$24:$D$24,0))</f>
        <v>0.14399999999999999</v>
      </c>
      <c r="F39" s="44">
        <f>INDEX('Parameters | Agora'!$B$25:$D$33,MATCH($C39,'Parameters | Agora'!$A$25:$A$33,0),MATCH(F$1,'Parameters | Agora'!$B$24:$D$24,0))</f>
        <v>0.106</v>
      </c>
      <c r="G39" s="44">
        <f>INDEX('Parameters | Agora'!$B$25:$D$33,MATCH($C39,'Parameters | Agora'!$A$25:$A$33,0),MATCH(G$1,'Parameters | Agora'!$B$24:$D$24,0))</f>
        <v>0.21</v>
      </c>
      <c r="H39" s="42">
        <v>2620</v>
      </c>
      <c r="I39" s="8">
        <f>'Parameters | Agora'!$B$22</f>
        <v>1080</v>
      </c>
      <c r="J39" s="15">
        <f>'Parameters | Agora'!$B$21</f>
        <v>20</v>
      </c>
      <c r="K39" s="45">
        <f t="shared" si="2"/>
        <v>6.9866666666666664</v>
      </c>
      <c r="L39" s="45">
        <f t="shared" si="0"/>
        <v>5.1429629629629625</v>
      </c>
      <c r="M39" s="45">
        <f t="shared" si="1"/>
        <v>10.188888888888886</v>
      </c>
      <c r="N39" s="46">
        <f>E39*$H39/'Parameters | Agora'!$B$19*$J39</f>
        <v>41.919999999999995</v>
      </c>
      <c r="O39" s="46">
        <f>F39*$H39/'Parameters | Agora'!$B$19*$J39</f>
        <v>30.857777777777777</v>
      </c>
      <c r="P39" s="46">
        <f>G39*$H39/'Parameters | Agora'!$B$19*$J39</f>
        <v>61.133333333333326</v>
      </c>
    </row>
    <row r="40" spans="1:16">
      <c r="A40" s="43" t="s">
        <v>376</v>
      </c>
      <c r="B40" s="43" t="s">
        <v>377</v>
      </c>
      <c r="C40" s="43" t="s">
        <v>119</v>
      </c>
      <c r="D40" s="43" t="s">
        <v>325</v>
      </c>
      <c r="E40" s="44">
        <f>INDEX('Parameters | Agora'!$B$25:$D$33,MATCH($C40,'Parameters | Agora'!$A$25:$A$33,0),MATCH(E$1,'Parameters | Agora'!$B$24:$D$24,0))</f>
        <v>0.14399999999999999</v>
      </c>
      <c r="F40" s="44">
        <f>INDEX('Parameters | Agora'!$B$25:$D$33,MATCH($C40,'Parameters | Agora'!$A$25:$A$33,0),MATCH(F$1,'Parameters | Agora'!$B$24:$D$24,0))</f>
        <v>0.106</v>
      </c>
      <c r="G40" s="44">
        <f>INDEX('Parameters | Agora'!$B$25:$D$33,MATCH($C40,'Parameters | Agora'!$A$25:$A$33,0),MATCH(G$1,'Parameters | Agora'!$B$24:$D$24,0))</f>
        <v>0.21</v>
      </c>
      <c r="H40" s="42">
        <v>1640</v>
      </c>
      <c r="I40" s="8">
        <f>'Parameters | Agora'!$B$22</f>
        <v>1080</v>
      </c>
      <c r="J40" s="15">
        <f>'Parameters | Agora'!$B$21</f>
        <v>20</v>
      </c>
      <c r="K40" s="45">
        <f t="shared" si="2"/>
        <v>4.3733333333333331</v>
      </c>
      <c r="L40" s="45">
        <f t="shared" si="0"/>
        <v>3.2192592592592595</v>
      </c>
      <c r="M40" s="45">
        <f t="shared" si="1"/>
        <v>6.3777777777777782</v>
      </c>
      <c r="N40" s="46">
        <f>E40*$H40/'Parameters | Agora'!$B$19*$J40</f>
        <v>26.239999999999995</v>
      </c>
      <c r="O40" s="46">
        <f>F40*$H40/'Parameters | Agora'!$B$19*$J40</f>
        <v>19.315555555555555</v>
      </c>
      <c r="P40" s="46">
        <f>G40*$H40/'Parameters | Agora'!$B$19*$J40</f>
        <v>38.266666666666666</v>
      </c>
    </row>
    <row r="41" spans="1:16">
      <c r="A41" s="43" t="s">
        <v>392</v>
      </c>
      <c r="B41" s="43" t="s">
        <v>393</v>
      </c>
      <c r="C41" s="43" t="s">
        <v>119</v>
      </c>
      <c r="D41" s="43" t="s">
        <v>319</v>
      </c>
      <c r="E41" s="44">
        <f>INDEX('Parameters | Agora'!$B$25:$D$33,MATCH($C41,'Parameters | Agora'!$A$25:$A$33,0),MATCH(E$1,'Parameters | Agora'!$B$24:$D$24,0))</f>
        <v>0.14399999999999999</v>
      </c>
      <c r="F41" s="44">
        <f>INDEX('Parameters | Agora'!$B$25:$D$33,MATCH($C41,'Parameters | Agora'!$A$25:$A$33,0),MATCH(F$1,'Parameters | Agora'!$B$24:$D$24,0))</f>
        <v>0.106</v>
      </c>
      <c r="G41" s="44">
        <f>INDEX('Parameters | Agora'!$B$25:$D$33,MATCH($C41,'Parameters | Agora'!$A$25:$A$33,0),MATCH(G$1,'Parameters | Agora'!$B$24:$D$24,0))</f>
        <v>0.21</v>
      </c>
      <c r="H41" s="42">
        <v>610</v>
      </c>
      <c r="I41" s="8">
        <f>'Parameters | Agora'!$B$22</f>
        <v>1080</v>
      </c>
      <c r="J41" s="15">
        <f>'Parameters | Agora'!$B$21</f>
        <v>20</v>
      </c>
      <c r="K41" s="45">
        <f t="shared" si="2"/>
        <v>1.6266666666666665</v>
      </c>
      <c r="L41" s="45">
        <f t="shared" si="0"/>
        <v>1.1974074074074073</v>
      </c>
      <c r="M41" s="45">
        <f t="shared" si="1"/>
        <v>2.3722222222222222</v>
      </c>
      <c r="N41" s="46">
        <f>E41*$H41/'Parameters | Agora'!$B$19*$J41</f>
        <v>9.759999999999998</v>
      </c>
      <c r="O41" s="46">
        <f>F41*$H41/'Parameters | Agora'!$B$19*$J41</f>
        <v>7.1844444444444449</v>
      </c>
      <c r="P41" s="46">
        <f>G41*$H41/'Parameters | Agora'!$B$19*$J41</f>
        <v>14.233333333333334</v>
      </c>
    </row>
    <row r="42" spans="1:16">
      <c r="A42" s="43" t="s">
        <v>394</v>
      </c>
      <c r="B42" s="43" t="s">
        <v>395</v>
      </c>
      <c r="C42" s="43" t="s">
        <v>119</v>
      </c>
      <c r="D42" s="43" t="s">
        <v>325</v>
      </c>
      <c r="E42" s="44">
        <f>INDEX('Parameters | Agora'!$B$25:$D$33,MATCH($C42,'Parameters | Agora'!$A$25:$A$33,0),MATCH(E$1,'Parameters | Agora'!$B$24:$D$24,0))</f>
        <v>0.14399999999999999</v>
      </c>
      <c r="F42" s="44">
        <f>INDEX('Parameters | Agora'!$B$25:$D$33,MATCH($C42,'Parameters | Agora'!$A$25:$A$33,0),MATCH(F$1,'Parameters | Agora'!$B$24:$D$24,0))</f>
        <v>0.106</v>
      </c>
      <c r="G42" s="44">
        <f>INDEX('Parameters | Agora'!$B$25:$D$33,MATCH($C42,'Parameters | Agora'!$A$25:$A$33,0),MATCH(G$1,'Parameters | Agora'!$B$24:$D$24,0))</f>
        <v>0.21</v>
      </c>
      <c r="H42" s="42">
        <v>2290</v>
      </c>
      <c r="I42" s="8">
        <f>'Parameters | Agora'!$B$22</f>
        <v>1080</v>
      </c>
      <c r="J42" s="15">
        <f>'Parameters | Agora'!$B$21</f>
        <v>20</v>
      </c>
      <c r="K42" s="45">
        <f t="shared" si="2"/>
        <v>6.1066666666666674</v>
      </c>
      <c r="L42" s="45">
        <f t="shared" si="0"/>
        <v>4.4951851851851847</v>
      </c>
      <c r="M42" s="45">
        <f t="shared" si="1"/>
        <v>8.905555555555555</v>
      </c>
      <c r="N42" s="46">
        <f>E42*$H42/'Parameters | Agora'!$B$19*$J42</f>
        <v>36.64</v>
      </c>
      <c r="O42" s="46">
        <f>F42*$H42/'Parameters | Agora'!$B$19*$J42</f>
        <v>26.97111111111111</v>
      </c>
      <c r="P42" s="46">
        <f>G42*$H42/'Parameters | Agora'!$B$19*$J42</f>
        <v>53.43333333333333</v>
      </c>
    </row>
    <row r="43" spans="1:16">
      <c r="A43" s="43" t="s">
        <v>388</v>
      </c>
      <c r="B43" s="43" t="s">
        <v>389</v>
      </c>
      <c r="C43" s="43" t="s">
        <v>116</v>
      </c>
      <c r="D43" s="43" t="s">
        <v>322</v>
      </c>
      <c r="E43" s="44">
        <f>INDEX('Parameters | Agora'!$B$25:$D$33,MATCH($C43,'Parameters | Agora'!$A$25:$A$33,0),MATCH(E$1,'Parameters | Agora'!$B$24:$D$24,0))</f>
        <v>7.8E-2</v>
      </c>
      <c r="F43" s="44">
        <f>INDEX('Parameters | Agora'!$B$25:$D$33,MATCH($C43,'Parameters | Agora'!$A$25:$A$33,0),MATCH(F$1,'Parameters | Agora'!$B$24:$D$24,0))</f>
        <v>5.3999999999999999E-2</v>
      </c>
      <c r="G43" s="44">
        <f>INDEX('Parameters | Agora'!$B$25:$D$33,MATCH($C43,'Parameters | Agora'!$A$25:$A$33,0),MATCH(G$1,'Parameters | Agora'!$B$24:$D$24,0))</f>
        <v>0.159</v>
      </c>
      <c r="H43" s="42">
        <v>6500</v>
      </c>
      <c r="I43" s="8">
        <f>'Parameters | Agora'!$B$22</f>
        <v>1080</v>
      </c>
      <c r="J43" s="15">
        <f>'Parameters | Agora'!$B$21</f>
        <v>20</v>
      </c>
      <c r="K43" s="45">
        <f t="shared" si="2"/>
        <v>9.3888888888888893</v>
      </c>
      <c r="L43" s="45">
        <f t="shared" si="0"/>
        <v>6.5</v>
      </c>
      <c r="M43" s="45">
        <f t="shared" si="1"/>
        <v>19.138888888888889</v>
      </c>
      <c r="N43" s="46">
        <f>E43*$H43/'Parameters | Agora'!$B$19*$J43</f>
        <v>56.333333333333336</v>
      </c>
      <c r="O43" s="46">
        <f>F43*$H43/'Parameters | Agora'!$B$19*$J43</f>
        <v>39</v>
      </c>
      <c r="P43" s="46">
        <f>G43*$H43/'Parameters | Agora'!$B$19*$J43</f>
        <v>114.83333333333333</v>
      </c>
    </row>
    <row r="44" spans="1:16">
      <c r="A44" s="43" t="s">
        <v>390</v>
      </c>
      <c r="B44" s="43" t="s">
        <v>391</v>
      </c>
      <c r="C44" s="43" t="s">
        <v>119</v>
      </c>
      <c r="D44" s="43" t="s">
        <v>325</v>
      </c>
      <c r="E44" s="44">
        <f>INDEX('Parameters | Agora'!$B$25:$D$33,MATCH($C44,'Parameters | Agora'!$A$25:$A$33,0),MATCH(E$1,'Parameters | Agora'!$B$24:$D$24,0))</f>
        <v>0.14399999999999999</v>
      </c>
      <c r="F44" s="44">
        <f>INDEX('Parameters | Agora'!$B$25:$D$33,MATCH($C44,'Parameters | Agora'!$A$25:$A$33,0),MATCH(F$1,'Parameters | Agora'!$B$24:$D$24,0))</f>
        <v>0.106</v>
      </c>
      <c r="G44" s="44">
        <f>INDEX('Parameters | Agora'!$B$25:$D$33,MATCH($C44,'Parameters | Agora'!$A$25:$A$33,0),MATCH(G$1,'Parameters | Agora'!$B$24:$D$24,0))</f>
        <v>0.21</v>
      </c>
      <c r="H44" s="42">
        <v>1610</v>
      </c>
      <c r="I44" s="8">
        <f>'Parameters | Agora'!$B$22</f>
        <v>1080</v>
      </c>
      <c r="J44" s="15">
        <f>'Parameters | Agora'!$B$21</f>
        <v>20</v>
      </c>
      <c r="K44" s="45">
        <f t="shared" si="2"/>
        <v>4.293333333333333</v>
      </c>
      <c r="L44" s="45">
        <f t="shared" si="0"/>
        <v>3.1603703703703703</v>
      </c>
      <c r="M44" s="45">
        <f t="shared" si="1"/>
        <v>6.2611111111111111</v>
      </c>
      <c r="N44" s="46">
        <f>E44*$H44/'Parameters | Agora'!$B$19*$J44</f>
        <v>25.759999999999998</v>
      </c>
      <c r="O44" s="46">
        <f>F44*$H44/'Parameters | Agora'!$B$19*$J44</f>
        <v>18.962222222222223</v>
      </c>
      <c r="P44" s="46">
        <f>G44*$H44/'Parameters | Agora'!$B$19*$J44</f>
        <v>37.566666666666663</v>
      </c>
    </row>
    <row r="45" spans="1:16">
      <c r="A45" s="43" t="s">
        <v>372</v>
      </c>
      <c r="B45" s="43" t="s">
        <v>373</v>
      </c>
      <c r="C45" s="43" t="s">
        <v>119</v>
      </c>
      <c r="D45" s="43" t="s">
        <v>325</v>
      </c>
      <c r="E45" s="44">
        <f>INDEX('Parameters | Agora'!$B$25:$D$33,MATCH($C45,'Parameters | Agora'!$A$25:$A$33,0),MATCH(E$1,'Parameters | Agora'!$B$24:$D$24,0))</f>
        <v>0.14399999999999999</v>
      </c>
      <c r="F45" s="44">
        <f>INDEX('Parameters | Agora'!$B$25:$D$33,MATCH($C45,'Parameters | Agora'!$A$25:$A$33,0),MATCH(F$1,'Parameters | Agora'!$B$24:$D$24,0))</f>
        <v>0.106</v>
      </c>
      <c r="G45" s="44">
        <f>INDEX('Parameters | Agora'!$B$25:$D$33,MATCH($C45,'Parameters | Agora'!$A$25:$A$33,0),MATCH(G$1,'Parameters | Agora'!$B$24:$D$24,0))</f>
        <v>0.21</v>
      </c>
      <c r="H45" s="42">
        <v>3950</v>
      </c>
      <c r="I45" s="8">
        <f>'Parameters | Agora'!$B$22</f>
        <v>1080</v>
      </c>
      <c r="J45" s="15">
        <f>'Parameters | Agora'!$B$21</f>
        <v>20</v>
      </c>
      <c r="K45" s="45">
        <f t="shared" si="2"/>
        <v>10.533333333333331</v>
      </c>
      <c r="L45" s="45">
        <f t="shared" si="0"/>
        <v>7.753703703703704</v>
      </c>
      <c r="M45" s="45">
        <f t="shared" si="1"/>
        <v>15.361111111111112</v>
      </c>
      <c r="N45" s="46">
        <f>E45*$H45/'Parameters | Agora'!$B$19*$J45</f>
        <v>63.199999999999996</v>
      </c>
      <c r="O45" s="46">
        <f>F45*$H45/'Parameters | Agora'!$B$19*$J45</f>
        <v>46.522222222222219</v>
      </c>
      <c r="P45" s="46">
        <f>G45*$H45/'Parameters | Agora'!$B$19*$J45</f>
        <v>92.166666666666671</v>
      </c>
    </row>
    <row r="46" spans="1:16">
      <c r="A46" s="43" t="s">
        <v>396</v>
      </c>
      <c r="B46" s="43" t="s">
        <v>397</v>
      </c>
      <c r="C46" s="43" t="s">
        <v>116</v>
      </c>
      <c r="D46" s="43" t="s">
        <v>322</v>
      </c>
      <c r="E46" s="44">
        <f>INDEX('Parameters | Agora'!$B$25:$D$33,MATCH($C46,'Parameters | Agora'!$A$25:$A$33,0),MATCH(E$1,'Parameters | Agora'!$B$24:$D$24,0))</f>
        <v>7.8E-2</v>
      </c>
      <c r="F46" s="44">
        <f>INDEX('Parameters | Agora'!$B$25:$D$33,MATCH($C46,'Parameters | Agora'!$A$25:$A$33,0),MATCH(F$1,'Parameters | Agora'!$B$24:$D$24,0))</f>
        <v>5.3999999999999999E-2</v>
      </c>
      <c r="G46" s="44">
        <f>INDEX('Parameters | Agora'!$B$25:$D$33,MATCH($C46,'Parameters | Agora'!$A$25:$A$33,0),MATCH(G$1,'Parameters | Agora'!$B$24:$D$24,0))</f>
        <v>0.159</v>
      </c>
      <c r="H46" s="42">
        <v>12920</v>
      </c>
      <c r="I46" s="8">
        <f>'Parameters | Agora'!$B$22</f>
        <v>1080</v>
      </c>
      <c r="J46" s="15">
        <f>'Parameters | Agora'!$B$21</f>
        <v>20</v>
      </c>
      <c r="K46" s="45">
        <f t="shared" si="2"/>
        <v>18.662222222222223</v>
      </c>
      <c r="L46" s="45">
        <f t="shared" si="0"/>
        <v>12.919999999999998</v>
      </c>
      <c r="M46" s="45">
        <f t="shared" si="1"/>
        <v>38.042222222222229</v>
      </c>
      <c r="N46" s="46">
        <f>E46*$H46/'Parameters | Agora'!$B$19*$J46</f>
        <v>111.97333333333333</v>
      </c>
      <c r="O46" s="46">
        <f>F46*$H46/'Parameters | Agora'!$B$19*$J46</f>
        <v>77.52</v>
      </c>
      <c r="P46" s="46">
        <f>G46*$H46/'Parameters | Agora'!$B$19*$J46</f>
        <v>228.25333333333336</v>
      </c>
    </row>
    <row r="47" spans="1:16">
      <c r="A47" s="43" t="s">
        <v>400</v>
      </c>
      <c r="B47" s="43" t="s">
        <v>401</v>
      </c>
      <c r="C47" s="43" t="s">
        <v>116</v>
      </c>
      <c r="D47" s="43" t="s">
        <v>322</v>
      </c>
      <c r="E47" s="44">
        <f>INDEX('Parameters | Agora'!$B$25:$D$33,MATCH($C47,'Parameters | Agora'!$A$25:$A$33,0),MATCH(E$1,'Parameters | Agora'!$B$24:$D$24,0))</f>
        <v>7.8E-2</v>
      </c>
      <c r="F47" s="44">
        <f>INDEX('Parameters | Agora'!$B$25:$D$33,MATCH($C47,'Parameters | Agora'!$A$25:$A$33,0),MATCH(F$1,'Parameters | Agora'!$B$24:$D$24,0))</f>
        <v>5.3999999999999999E-2</v>
      </c>
      <c r="G47" s="44">
        <f>INDEX('Parameters | Agora'!$B$25:$D$33,MATCH($C47,'Parameters | Agora'!$A$25:$A$33,0),MATCH(G$1,'Parameters | Agora'!$B$24:$D$24,0))</f>
        <v>0.159</v>
      </c>
      <c r="H47" s="42">
        <v>8721.3633333333346</v>
      </c>
      <c r="I47" s="8">
        <f>'Parameters | Agora'!$B$22</f>
        <v>1080</v>
      </c>
      <c r="J47" s="15">
        <f>'Parameters | Agora'!$B$21</f>
        <v>20</v>
      </c>
      <c r="K47" s="45">
        <f t="shared" si="2"/>
        <v>12.597524814814818</v>
      </c>
      <c r="L47" s="45">
        <f t="shared" si="0"/>
        <v>8.7213633333333345</v>
      </c>
      <c r="M47" s="45">
        <f t="shared" si="1"/>
        <v>25.679569814814819</v>
      </c>
      <c r="N47" s="46">
        <f>E47*$H47/'Parameters | Agora'!$B$19*$J47</f>
        <v>75.585148888888909</v>
      </c>
      <c r="O47" s="46">
        <f>F47*$H47/'Parameters | Agora'!$B$19*$J47</f>
        <v>52.32818000000001</v>
      </c>
      <c r="P47" s="46">
        <f>G47*$H47/'Parameters | Agora'!$B$19*$J47</f>
        <v>154.0774188888889</v>
      </c>
    </row>
    <row r="48" spans="1:16">
      <c r="A48" s="43" t="s">
        <v>745</v>
      </c>
      <c r="B48" s="43" t="s">
        <v>746</v>
      </c>
      <c r="C48" s="43" t="s">
        <v>116</v>
      </c>
      <c r="D48" s="43" t="s">
        <v>121</v>
      </c>
      <c r="E48" s="44">
        <f>INDEX('Parameters | Agora'!$B$25:$D$33,MATCH($C48,'Parameters | Agora'!$A$25:$A$33,0),MATCH(E$1,'Parameters | Agora'!$B$24:$D$24,0))</f>
        <v>7.8E-2</v>
      </c>
      <c r="F48" s="44">
        <f>INDEX('Parameters | Agora'!$B$25:$D$33,MATCH($C48,'Parameters | Agora'!$A$25:$A$33,0),MATCH(F$1,'Parameters | Agora'!$B$24:$D$24,0))</f>
        <v>5.3999999999999999E-2</v>
      </c>
      <c r="G48" s="44">
        <f>INDEX('Parameters | Agora'!$B$25:$D$33,MATCH($C48,'Parameters | Agora'!$A$25:$A$33,0),MATCH(G$1,'Parameters | Agora'!$B$24:$D$24,0))</f>
        <v>0.159</v>
      </c>
      <c r="H48" s="42">
        <v>18060</v>
      </c>
      <c r="I48" s="8">
        <f>'Parameters | Agora'!$B$22</f>
        <v>1080</v>
      </c>
      <c r="J48" s="15">
        <f>'Parameters | Agora'!$B$21</f>
        <v>20</v>
      </c>
      <c r="K48" s="45">
        <f t="shared" si="2"/>
        <v>26.086666666666666</v>
      </c>
      <c r="L48" s="45">
        <f t="shared" si="0"/>
        <v>18.060000000000002</v>
      </c>
      <c r="M48" s="45">
        <f t="shared" si="1"/>
        <v>53.176666666666669</v>
      </c>
      <c r="N48" s="46">
        <f>E48*$H48/'Parameters | Agora'!$B$19*$J48</f>
        <v>156.52000000000001</v>
      </c>
      <c r="O48" s="46">
        <f>F48*$H48/'Parameters | Agora'!$B$19*$J48</f>
        <v>108.36</v>
      </c>
      <c r="P48" s="46">
        <f>G48*$H48/'Parameters | Agora'!$B$19*$J48</f>
        <v>319.06</v>
      </c>
    </row>
    <row r="49" spans="1:16">
      <c r="A49" s="43" t="s">
        <v>694</v>
      </c>
      <c r="B49" s="43" t="s">
        <v>695</v>
      </c>
      <c r="C49" s="43" t="s">
        <v>116</v>
      </c>
      <c r="D49" s="43" t="s">
        <v>121</v>
      </c>
      <c r="E49" s="44">
        <f>INDEX('Parameters | Agora'!$B$25:$D$33,MATCH($C49,'Parameters | Agora'!$A$25:$A$33,0),MATCH(E$1,'Parameters | Agora'!$B$24:$D$24,0))</f>
        <v>7.8E-2</v>
      </c>
      <c r="F49" s="44">
        <f>INDEX('Parameters | Agora'!$B$25:$D$33,MATCH($C49,'Parameters | Agora'!$A$25:$A$33,0),MATCH(F$1,'Parameters | Agora'!$B$24:$D$24,0))</f>
        <v>5.3999999999999999E-2</v>
      </c>
      <c r="G49" s="44">
        <f>INDEX('Parameters | Agora'!$B$25:$D$33,MATCH($C49,'Parameters | Agora'!$A$25:$A$33,0),MATCH(G$1,'Parameters | Agora'!$B$24:$D$24,0))</f>
        <v>0.159</v>
      </c>
      <c r="H49" s="42">
        <v>62000</v>
      </c>
      <c r="I49" s="8">
        <f>'Parameters | Agora'!$B$22</f>
        <v>1080</v>
      </c>
      <c r="J49" s="15">
        <f>'Parameters | Agora'!$B$21</f>
        <v>20</v>
      </c>
      <c r="K49" s="45">
        <f t="shared" si="2"/>
        <v>89.555555555555557</v>
      </c>
      <c r="L49" s="45">
        <f t="shared" si="0"/>
        <v>62</v>
      </c>
      <c r="M49" s="45">
        <f t="shared" si="1"/>
        <v>182.55555555555557</v>
      </c>
      <c r="N49" s="46">
        <f>E49*$H49/'Parameters | Agora'!$B$19*$J49</f>
        <v>537.33333333333337</v>
      </c>
      <c r="O49" s="46">
        <f>F49*$H49/'Parameters | Agora'!$B$19*$J49</f>
        <v>372</v>
      </c>
      <c r="P49" s="46">
        <f>G49*$H49/'Parameters | Agora'!$B$19*$J49</f>
        <v>1095.3333333333333</v>
      </c>
    </row>
    <row r="50" spans="1:16">
      <c r="A50" s="43" t="s">
        <v>402</v>
      </c>
      <c r="B50" s="43" t="s">
        <v>403</v>
      </c>
      <c r="C50" s="43" t="s">
        <v>115</v>
      </c>
      <c r="D50" s="43" t="s">
        <v>121</v>
      </c>
      <c r="E50" s="44">
        <f>INDEX('Parameters | Agora'!$B$25:$D$33,MATCH($C50,'Parameters | Agora'!$A$25:$A$33,0),MATCH(E$1,'Parameters | Agora'!$B$24:$D$24,0))</f>
        <v>0.13900000000000001</v>
      </c>
      <c r="F50" s="44">
        <f>INDEX('Parameters | Agora'!$B$25:$D$33,MATCH($C50,'Parameters | Agora'!$A$25:$A$33,0),MATCH(F$1,'Parameters | Agora'!$B$24:$D$24,0))</f>
        <v>4.7E-2</v>
      </c>
      <c r="G50" s="44">
        <f>INDEX('Parameters | Agora'!$B$25:$D$33,MATCH($C50,'Parameters | Agora'!$A$25:$A$33,0),MATCH(G$1,'Parameters | Agora'!$B$24:$D$24,0))</f>
        <v>0.10299999999999999</v>
      </c>
      <c r="H50" s="42">
        <v>31520</v>
      </c>
      <c r="I50" s="8">
        <f>'Parameters | Agora'!$B$22</f>
        <v>1080</v>
      </c>
      <c r="J50" s="15">
        <f>'Parameters | Agora'!$B$21</f>
        <v>20</v>
      </c>
      <c r="K50" s="45">
        <f t="shared" si="2"/>
        <v>81.134814814814831</v>
      </c>
      <c r="L50" s="45">
        <f t="shared" si="0"/>
        <v>27.434074074074072</v>
      </c>
      <c r="M50" s="45">
        <f t="shared" si="1"/>
        <v>60.121481481481482</v>
      </c>
      <c r="N50" s="46">
        <f>E50*$H50/'Parameters | Agora'!$B$19*$J50</f>
        <v>486.80888888888893</v>
      </c>
      <c r="O50" s="46">
        <f>F50*$H50/'Parameters | Agora'!$B$19*$J50</f>
        <v>164.60444444444445</v>
      </c>
      <c r="P50" s="46">
        <f>G50*$H50/'Parameters | Agora'!$B$19*$J50</f>
        <v>360.72888888888889</v>
      </c>
    </row>
    <row r="51" spans="1:16">
      <c r="A51" s="43" t="s">
        <v>747</v>
      </c>
      <c r="B51" s="43" t="s">
        <v>405</v>
      </c>
      <c r="C51" s="43" t="s">
        <v>115</v>
      </c>
      <c r="D51" s="43" t="s">
        <v>121</v>
      </c>
      <c r="E51" s="44">
        <f>INDEX('Parameters | Agora'!$B$25:$D$33,MATCH($C51,'Parameters | Agora'!$A$25:$A$33,0),MATCH(E$1,'Parameters | Agora'!$B$24:$D$24,0))</f>
        <v>0.13900000000000001</v>
      </c>
      <c r="F51" s="44">
        <f>INDEX('Parameters | Agora'!$B$25:$D$33,MATCH($C51,'Parameters | Agora'!$A$25:$A$33,0),MATCH(F$1,'Parameters | Agora'!$B$24:$D$24,0))</f>
        <v>4.7E-2</v>
      </c>
      <c r="G51" s="44">
        <f>INDEX('Parameters | Agora'!$B$25:$D$33,MATCH($C51,'Parameters | Agora'!$A$25:$A$33,0),MATCH(G$1,'Parameters | Agora'!$B$24:$D$24,0))</f>
        <v>0.10299999999999999</v>
      </c>
      <c r="H51" s="42">
        <v>26100</v>
      </c>
      <c r="I51" s="8">
        <f>'Parameters | Agora'!$B$22</f>
        <v>1080</v>
      </c>
      <c r="J51" s="15">
        <f>'Parameters | Agora'!$B$21</f>
        <v>20</v>
      </c>
      <c r="K51" s="45">
        <f t="shared" si="2"/>
        <v>67.183333333333351</v>
      </c>
      <c r="L51" s="45">
        <f t="shared" si="0"/>
        <v>22.716666666666669</v>
      </c>
      <c r="M51" s="45">
        <f t="shared" si="1"/>
        <v>49.783333333333324</v>
      </c>
      <c r="N51" s="46">
        <f>E51*$H51/'Parameters | Agora'!$B$19*$J51</f>
        <v>403.10000000000008</v>
      </c>
      <c r="O51" s="46">
        <f>F51*$H51/'Parameters | Agora'!$B$19*$J51</f>
        <v>136.30000000000001</v>
      </c>
      <c r="P51" s="46">
        <f>G51*$H51/'Parameters | Agora'!$B$19*$J51</f>
        <v>298.7</v>
      </c>
    </row>
    <row r="52" spans="1:16">
      <c r="A52" s="43" t="s">
        <v>436</v>
      </c>
      <c r="B52" s="43" t="s">
        <v>437</v>
      </c>
      <c r="C52" s="43" t="s">
        <v>115</v>
      </c>
      <c r="D52" s="43" t="s">
        <v>121</v>
      </c>
      <c r="E52" s="44">
        <f>INDEX('Parameters | Agora'!$B$25:$D$33,MATCH($C52,'Parameters | Agora'!$A$25:$A$33,0),MATCH(E$1,'Parameters | Agora'!$B$24:$D$24,0))</f>
        <v>0.13900000000000001</v>
      </c>
      <c r="F52" s="44">
        <f>INDEX('Parameters | Agora'!$B$25:$D$33,MATCH($C52,'Parameters | Agora'!$A$25:$A$33,0),MATCH(F$1,'Parameters | Agora'!$B$24:$D$24,0))</f>
        <v>4.7E-2</v>
      </c>
      <c r="G52" s="44">
        <f>INDEX('Parameters | Agora'!$B$25:$D$33,MATCH($C52,'Parameters | Agora'!$A$25:$A$33,0),MATCH(G$1,'Parameters | Agora'!$B$24:$D$24,0))</f>
        <v>0.10299999999999999</v>
      </c>
      <c r="H52" s="42">
        <v>54030</v>
      </c>
      <c r="I52" s="8">
        <f>'Parameters | Agora'!$B$22</f>
        <v>1080</v>
      </c>
      <c r="J52" s="15">
        <f>'Parameters | Agora'!$B$21</f>
        <v>20</v>
      </c>
      <c r="K52" s="45">
        <f t="shared" si="2"/>
        <v>139.07722222222225</v>
      </c>
      <c r="L52" s="45">
        <f t="shared" si="0"/>
        <v>47.026111111111106</v>
      </c>
      <c r="M52" s="45">
        <f t="shared" si="1"/>
        <v>103.05722222222222</v>
      </c>
      <c r="N52" s="46">
        <f>E52*$H52/'Parameters | Agora'!$B$19*$J52</f>
        <v>834.46333333333337</v>
      </c>
      <c r="O52" s="46">
        <f>F52*$H52/'Parameters | Agora'!$B$19*$J52</f>
        <v>282.15666666666664</v>
      </c>
      <c r="P52" s="46">
        <f>G52*$H52/'Parameters | Agora'!$B$19*$J52</f>
        <v>618.34333333333336</v>
      </c>
    </row>
    <row r="53" spans="1:16">
      <c r="A53" s="43" t="s">
        <v>408</v>
      </c>
      <c r="B53" s="43" t="s">
        <v>409</v>
      </c>
      <c r="C53" s="43" t="s">
        <v>117</v>
      </c>
      <c r="D53" s="43" t="s">
        <v>325</v>
      </c>
      <c r="E53" s="44">
        <f>INDEX('Parameters | Agora'!$B$25:$D$33,MATCH($C53,'Parameters | Agora'!$A$25:$A$33,0),MATCH(E$1,'Parameters | Agora'!$B$24:$D$24,0))</f>
        <v>0.16</v>
      </c>
      <c r="F53" s="44">
        <f>INDEX('Parameters | Agora'!$B$25:$D$33,MATCH($C53,'Parameters | Agora'!$A$25:$A$33,0),MATCH(F$1,'Parameters | Agora'!$B$24:$D$24,0))</f>
        <v>4.4999999999999998E-2</v>
      </c>
      <c r="G53" s="44">
        <f>INDEX('Parameters | Agora'!$B$25:$D$33,MATCH($C53,'Parameters | Agora'!$A$25:$A$33,0),MATCH(G$1,'Parameters | Agora'!$B$24:$D$24,0))</f>
        <v>0.105</v>
      </c>
      <c r="H53" s="42">
        <v>3310</v>
      </c>
      <c r="I53" s="8">
        <f>'Parameters | Agora'!$B$22</f>
        <v>1080</v>
      </c>
      <c r="J53" s="15">
        <f>'Parameters | Agora'!$B$21</f>
        <v>20</v>
      </c>
      <c r="K53" s="45">
        <f t="shared" si="2"/>
        <v>9.8074074074074087</v>
      </c>
      <c r="L53" s="45">
        <f t="shared" si="0"/>
        <v>2.7583333333333333</v>
      </c>
      <c r="M53" s="45">
        <f t="shared" si="1"/>
        <v>6.4361111111111118</v>
      </c>
      <c r="N53" s="46">
        <f>E53*$H53/'Parameters | Agora'!$B$19*$J53</f>
        <v>58.844444444444449</v>
      </c>
      <c r="O53" s="46">
        <f>F53*$H53/'Parameters | Agora'!$B$19*$J53</f>
        <v>16.549999999999997</v>
      </c>
      <c r="P53" s="46">
        <f>G53*$H53/'Parameters | Agora'!$B$19*$J53</f>
        <v>38.616666666666667</v>
      </c>
    </row>
    <row r="54" spans="1:16">
      <c r="A54" s="43" t="s">
        <v>410</v>
      </c>
      <c r="B54" s="43" t="s">
        <v>411</v>
      </c>
      <c r="C54" s="43" t="s">
        <v>116</v>
      </c>
      <c r="D54" s="43" t="s">
        <v>322</v>
      </c>
      <c r="E54" s="44">
        <f>INDEX('Parameters | Agora'!$B$25:$D$33,MATCH($C54,'Parameters | Agora'!$A$25:$A$33,0),MATCH(E$1,'Parameters | Agora'!$B$24:$D$24,0))</f>
        <v>7.8E-2</v>
      </c>
      <c r="F54" s="44">
        <f>INDEX('Parameters | Agora'!$B$25:$D$33,MATCH($C54,'Parameters | Agora'!$A$25:$A$33,0),MATCH(F$1,'Parameters | Agora'!$B$24:$D$24,0))</f>
        <v>5.3999999999999999E-2</v>
      </c>
      <c r="G54" s="44">
        <f>INDEX('Parameters | Agora'!$B$25:$D$33,MATCH($C54,'Parameters | Agora'!$A$25:$A$33,0),MATCH(G$1,'Parameters | Agora'!$B$24:$D$24,0))</f>
        <v>0.159</v>
      </c>
      <c r="H54" s="42">
        <v>8430</v>
      </c>
      <c r="I54" s="8">
        <f>'Parameters | Agora'!$B$22</f>
        <v>1080</v>
      </c>
      <c r="J54" s="15">
        <f>'Parameters | Agora'!$B$21</f>
        <v>20</v>
      </c>
      <c r="K54" s="45">
        <f t="shared" si="2"/>
        <v>12.176666666666666</v>
      </c>
      <c r="L54" s="45">
        <f t="shared" si="0"/>
        <v>8.43</v>
      </c>
      <c r="M54" s="45">
        <f t="shared" si="1"/>
        <v>24.821666666666673</v>
      </c>
      <c r="N54" s="46">
        <f>E54*$H54/'Parameters | Agora'!$B$19*$J54</f>
        <v>73.059999999999988</v>
      </c>
      <c r="O54" s="46">
        <f>F54*$H54/'Parameters | Agora'!$B$19*$J54</f>
        <v>50.58</v>
      </c>
      <c r="P54" s="46">
        <f>G54*$H54/'Parameters | Agora'!$B$19*$J54</f>
        <v>148.93</v>
      </c>
    </row>
    <row r="55" spans="1:16">
      <c r="A55" s="43" t="s">
        <v>406</v>
      </c>
      <c r="B55" s="43" t="s">
        <v>407</v>
      </c>
      <c r="C55" s="43" t="s">
        <v>115</v>
      </c>
      <c r="D55" s="43" t="s">
        <v>121</v>
      </c>
      <c r="E55" s="44">
        <f>INDEX('Parameters | Agora'!$B$25:$D$33,MATCH($C55,'Parameters | Agora'!$A$25:$A$33,0),MATCH(E$1,'Parameters | Agora'!$B$24:$D$24,0))</f>
        <v>0.13900000000000001</v>
      </c>
      <c r="F55" s="44">
        <f>INDEX('Parameters | Agora'!$B$25:$D$33,MATCH($C55,'Parameters | Agora'!$A$25:$A$33,0),MATCH(F$1,'Parameters | Agora'!$B$24:$D$24,0))</f>
        <v>4.7E-2</v>
      </c>
      <c r="G55" s="44">
        <f>INDEX('Parameters | Agora'!$B$25:$D$33,MATCH($C55,'Parameters | Agora'!$A$25:$A$33,0),MATCH(G$1,'Parameters | Agora'!$B$24:$D$24,0))</f>
        <v>0.10299999999999999</v>
      </c>
      <c r="H55" s="42">
        <v>73520</v>
      </c>
      <c r="I55" s="8">
        <f>'Parameters | Agora'!$B$22</f>
        <v>1080</v>
      </c>
      <c r="J55" s="15">
        <f>'Parameters | Agora'!$B$21</f>
        <v>20</v>
      </c>
      <c r="K55" s="45">
        <f t="shared" si="2"/>
        <v>189.24592592592592</v>
      </c>
      <c r="L55" s="45">
        <f t="shared" si="0"/>
        <v>63.989629629629626</v>
      </c>
      <c r="M55" s="45">
        <f t="shared" si="1"/>
        <v>140.2325925925926</v>
      </c>
      <c r="N55" s="46">
        <f>E55*$H55/'Parameters | Agora'!$B$19*$J55</f>
        <v>1135.4755555555557</v>
      </c>
      <c r="O55" s="46">
        <f>F55*$H55/'Parameters | Agora'!$B$19*$J55</f>
        <v>383.9377777777778</v>
      </c>
      <c r="P55" s="46">
        <f>G55*$H55/'Parameters | Agora'!$B$19*$J55</f>
        <v>841.39555555555546</v>
      </c>
    </row>
    <row r="56" spans="1:16">
      <c r="A56" s="43" t="s">
        <v>412</v>
      </c>
      <c r="B56" s="43" t="s">
        <v>413</v>
      </c>
      <c r="C56" s="43" t="s">
        <v>116</v>
      </c>
      <c r="D56" s="43" t="s">
        <v>322</v>
      </c>
      <c r="E56" s="44">
        <f>INDEX('Parameters | Agora'!$B$25:$D$33,MATCH($C56,'Parameters | Agora'!$A$25:$A$33,0),MATCH(E$1,'Parameters | Agora'!$B$24:$D$24,0))</f>
        <v>7.8E-2</v>
      </c>
      <c r="F56" s="44">
        <f>INDEX('Parameters | Agora'!$B$25:$D$33,MATCH($C56,'Parameters | Agora'!$A$25:$A$33,0),MATCH(F$1,'Parameters | Agora'!$B$24:$D$24,0))</f>
        <v>5.3999999999999999E-2</v>
      </c>
      <c r="G56" s="44">
        <f>INDEX('Parameters | Agora'!$B$25:$D$33,MATCH($C56,'Parameters | Agora'!$A$25:$A$33,0),MATCH(G$1,'Parameters | Agora'!$B$24:$D$24,0))</f>
        <v>0.159</v>
      </c>
      <c r="H56" s="42">
        <v>9050</v>
      </c>
      <c r="I56" s="8">
        <f>'Parameters | Agora'!$B$22</f>
        <v>1080</v>
      </c>
      <c r="J56" s="15">
        <f>'Parameters | Agora'!$B$21</f>
        <v>20</v>
      </c>
      <c r="K56" s="45">
        <f t="shared" si="2"/>
        <v>13.072222222222223</v>
      </c>
      <c r="L56" s="45">
        <f t="shared" si="0"/>
        <v>9.0500000000000007</v>
      </c>
      <c r="M56" s="45">
        <f t="shared" si="1"/>
        <v>26.647222222222222</v>
      </c>
      <c r="N56" s="46">
        <f>E56*$H56/'Parameters | Agora'!$B$19*$J56</f>
        <v>78.433333333333323</v>
      </c>
      <c r="O56" s="46">
        <f>F56*$H56/'Parameters | Agora'!$B$19*$J56</f>
        <v>54.3</v>
      </c>
      <c r="P56" s="46">
        <f>G56*$H56/'Parameters | Agora'!$B$19*$J56</f>
        <v>159.88333333333333</v>
      </c>
    </row>
    <row r="57" spans="1:16">
      <c r="A57" s="43" t="s">
        <v>323</v>
      </c>
      <c r="B57" s="43" t="s">
        <v>324</v>
      </c>
      <c r="C57" s="43" t="s">
        <v>117</v>
      </c>
      <c r="D57" s="43" t="s">
        <v>325</v>
      </c>
      <c r="E57" s="44">
        <f>INDEX('Parameters | Agora'!$B$25:$D$33,MATCH($C57,'Parameters | Agora'!$A$25:$A$33,0),MATCH(E$1,'Parameters | Agora'!$B$24:$D$24,0))</f>
        <v>0.16</v>
      </c>
      <c r="F57" s="44">
        <f>INDEX('Parameters | Agora'!$B$25:$D$33,MATCH($C57,'Parameters | Agora'!$A$25:$A$33,0),MATCH(F$1,'Parameters | Agora'!$B$24:$D$24,0))</f>
        <v>4.4999999999999998E-2</v>
      </c>
      <c r="G57" s="44">
        <f>INDEX('Parameters | Agora'!$B$25:$D$33,MATCH($C57,'Parameters | Agora'!$A$25:$A$33,0),MATCH(G$1,'Parameters | Agora'!$B$24:$D$24,0))</f>
        <v>0.105</v>
      </c>
      <c r="H57" s="42">
        <v>3920</v>
      </c>
      <c r="I57" s="8">
        <f>'Parameters | Agora'!$B$22</f>
        <v>1080</v>
      </c>
      <c r="J57" s="15">
        <f>'Parameters | Agora'!$B$21</f>
        <v>20</v>
      </c>
      <c r="K57" s="45">
        <f t="shared" si="2"/>
        <v>11.614814814814816</v>
      </c>
      <c r="L57" s="45">
        <f t="shared" si="0"/>
        <v>3.2666666666666666</v>
      </c>
      <c r="M57" s="45">
        <f t="shared" si="1"/>
        <v>7.6222222222222218</v>
      </c>
      <c r="N57" s="46">
        <f>E57*$H57/'Parameters | Agora'!$B$19*$J57</f>
        <v>69.688888888888897</v>
      </c>
      <c r="O57" s="46">
        <f>F57*$H57/'Parameters | Agora'!$B$19*$J57</f>
        <v>19.600000000000001</v>
      </c>
      <c r="P57" s="46">
        <f>G57*$H57/'Parameters | Agora'!$B$19*$J57</f>
        <v>45.733333333333334</v>
      </c>
    </row>
    <row r="58" spans="1:16">
      <c r="A58" s="43" t="s">
        <v>414</v>
      </c>
      <c r="B58" s="43" t="s">
        <v>415</v>
      </c>
      <c r="C58" s="43" t="s">
        <v>116</v>
      </c>
      <c r="D58" s="43" t="s">
        <v>322</v>
      </c>
      <c r="E58" s="44">
        <f>INDEX('Parameters | Agora'!$B$25:$D$33,MATCH($C58,'Parameters | Agora'!$A$25:$A$33,0),MATCH(E$1,'Parameters | Agora'!$B$24:$D$24,0))</f>
        <v>7.8E-2</v>
      </c>
      <c r="F58" s="44">
        <f>INDEX('Parameters | Agora'!$B$25:$D$33,MATCH($C58,'Parameters | Agora'!$A$25:$A$33,0),MATCH(F$1,'Parameters | Agora'!$B$24:$D$24,0))</f>
        <v>5.3999999999999999E-2</v>
      </c>
      <c r="G58" s="44">
        <f>INDEX('Parameters | Agora'!$B$25:$D$33,MATCH($C58,'Parameters | Agora'!$A$25:$A$33,0),MATCH(G$1,'Parameters | Agora'!$B$24:$D$24,0))</f>
        <v>0.159</v>
      </c>
      <c r="H58" s="42">
        <v>6300</v>
      </c>
      <c r="I58" s="8">
        <f>'Parameters | Agora'!$B$22</f>
        <v>1080</v>
      </c>
      <c r="J58" s="15">
        <f>'Parameters | Agora'!$B$21</f>
        <v>20</v>
      </c>
      <c r="K58" s="45">
        <f t="shared" si="2"/>
        <v>9.1</v>
      </c>
      <c r="L58" s="45">
        <f t="shared" si="0"/>
        <v>6.3</v>
      </c>
      <c r="M58" s="45">
        <f t="shared" si="1"/>
        <v>18.55</v>
      </c>
      <c r="N58" s="46">
        <f>E58*$H58/'Parameters | Agora'!$B$19*$J58</f>
        <v>54.6</v>
      </c>
      <c r="O58" s="46">
        <f>F58*$H58/'Parameters | Agora'!$B$19*$J58</f>
        <v>37.799999999999997</v>
      </c>
      <c r="P58" s="46">
        <f>G58*$H58/'Parameters | Agora'!$B$19*$J58</f>
        <v>111.30000000000001</v>
      </c>
    </row>
    <row r="59" spans="1:16">
      <c r="A59" s="43" t="s">
        <v>416</v>
      </c>
      <c r="B59" s="43" t="s">
        <v>417</v>
      </c>
      <c r="C59" s="43" t="s">
        <v>117</v>
      </c>
      <c r="D59" s="43" t="s">
        <v>325</v>
      </c>
      <c r="E59" s="44">
        <f>INDEX('Parameters | Agora'!$B$25:$D$33,MATCH($C59,'Parameters | Agora'!$A$25:$A$33,0),MATCH(E$1,'Parameters | Agora'!$B$24:$D$24,0))</f>
        <v>0.16</v>
      </c>
      <c r="F59" s="44">
        <f>INDEX('Parameters | Agora'!$B$25:$D$33,MATCH($C59,'Parameters | Agora'!$A$25:$A$33,0),MATCH(F$1,'Parameters | Agora'!$B$24:$D$24,0))</f>
        <v>4.4999999999999998E-2</v>
      </c>
      <c r="G59" s="44">
        <f>INDEX('Parameters | Agora'!$B$25:$D$33,MATCH($C59,'Parameters | Agora'!$A$25:$A$33,0),MATCH(G$1,'Parameters | Agora'!$B$24:$D$24,0))</f>
        <v>0.105</v>
      </c>
      <c r="H59" s="42">
        <v>4100</v>
      </c>
      <c r="I59" s="8">
        <f>'Parameters | Agora'!$B$22</f>
        <v>1080</v>
      </c>
      <c r="J59" s="15">
        <f>'Parameters | Agora'!$B$21</f>
        <v>20</v>
      </c>
      <c r="K59" s="45">
        <f t="shared" si="2"/>
        <v>12.148148148148149</v>
      </c>
      <c r="L59" s="45">
        <f t="shared" si="0"/>
        <v>3.416666666666667</v>
      </c>
      <c r="M59" s="45">
        <f t="shared" si="1"/>
        <v>7.9722222222222232</v>
      </c>
      <c r="N59" s="46">
        <f>E59*$H59/'Parameters | Agora'!$B$19*$J59</f>
        <v>72.888888888888886</v>
      </c>
      <c r="O59" s="46">
        <f>F59*$H59/'Parameters | Agora'!$B$19*$J59</f>
        <v>20.5</v>
      </c>
      <c r="P59" s="46">
        <f>G59*$H59/'Parameters | Agora'!$B$19*$J59</f>
        <v>47.833333333333329</v>
      </c>
    </row>
    <row r="60" spans="1:16">
      <c r="A60" s="43" t="s">
        <v>696</v>
      </c>
      <c r="B60" s="43" t="s">
        <v>697</v>
      </c>
      <c r="C60" s="43" t="s">
        <v>119</v>
      </c>
      <c r="D60" s="43" t="s">
        <v>319</v>
      </c>
      <c r="E60" s="44">
        <f>INDEX('Parameters | Agora'!$B$25:$D$33,MATCH($C60,'Parameters | Agora'!$A$25:$A$33,0),MATCH(E$1,'Parameters | Agora'!$B$24:$D$24,0))</f>
        <v>0.14399999999999999</v>
      </c>
      <c r="F60" s="44">
        <f>INDEX('Parameters | Agora'!$B$25:$D$33,MATCH($C60,'Parameters | Agora'!$A$25:$A$33,0),MATCH(F$1,'Parameters | Agora'!$B$24:$D$24,0))</f>
        <v>0.106</v>
      </c>
      <c r="G60" s="44">
        <f>INDEX('Parameters | Agora'!$B$25:$D$33,MATCH($C60,'Parameters | Agora'!$A$25:$A$33,0),MATCH(G$1,'Parameters | Agora'!$B$24:$D$24,0))</f>
        <v>0.21</v>
      </c>
      <c r="H60" s="42">
        <v>763.07400000000018</v>
      </c>
      <c r="I60" s="8">
        <f>'Parameters | Agora'!$B$22</f>
        <v>1080</v>
      </c>
      <c r="J60" s="15">
        <f>'Parameters | Agora'!$B$21</f>
        <v>20</v>
      </c>
      <c r="K60" s="45">
        <f t="shared" si="2"/>
        <v>2.0348640000000002</v>
      </c>
      <c r="L60" s="45">
        <f t="shared" si="0"/>
        <v>1.4978860000000005</v>
      </c>
      <c r="M60" s="45">
        <f t="shared" si="1"/>
        <v>2.9675100000000003</v>
      </c>
      <c r="N60" s="46">
        <f>E60*$H60/'Parameters | Agora'!$B$19*$J60</f>
        <v>12.209184000000002</v>
      </c>
      <c r="O60" s="46">
        <f>F60*$H60/'Parameters | Agora'!$B$19*$J60</f>
        <v>8.9873160000000016</v>
      </c>
      <c r="P60" s="46">
        <f>G60*$H60/'Parameters | Agora'!$B$19*$J60</f>
        <v>17.805060000000005</v>
      </c>
    </row>
    <row r="61" spans="1:16">
      <c r="A61" s="43" t="s">
        <v>612</v>
      </c>
      <c r="B61" s="43" t="s">
        <v>613</v>
      </c>
      <c r="C61" s="43" t="s">
        <v>115</v>
      </c>
      <c r="D61" s="43" t="s">
        <v>121</v>
      </c>
      <c r="E61" s="44">
        <f>INDEX('Parameters | Agora'!$B$25:$D$33,MATCH($C61,'Parameters | Agora'!$A$25:$A$33,0),MATCH(E$1,'Parameters | Agora'!$B$24:$D$24,0))</f>
        <v>0.13900000000000001</v>
      </c>
      <c r="F61" s="44">
        <f>INDEX('Parameters | Agora'!$B$25:$D$33,MATCH($C61,'Parameters | Agora'!$A$25:$A$33,0),MATCH(F$1,'Parameters | Agora'!$B$24:$D$24,0))</f>
        <v>4.7E-2</v>
      </c>
      <c r="G61" s="44">
        <f>INDEX('Parameters | Agora'!$B$25:$D$33,MATCH($C61,'Parameters | Agora'!$A$25:$A$33,0),MATCH(G$1,'Parameters | Agora'!$B$24:$D$24,0))</f>
        <v>0.10299999999999999</v>
      </c>
      <c r="H61" s="42">
        <v>32090</v>
      </c>
      <c r="I61" s="8">
        <f>'Parameters | Agora'!$B$22</f>
        <v>1080</v>
      </c>
      <c r="J61" s="15">
        <f>'Parameters | Agora'!$B$21</f>
        <v>20</v>
      </c>
      <c r="K61" s="45">
        <f t="shared" si="2"/>
        <v>82.602037037037036</v>
      </c>
      <c r="L61" s="45">
        <f t="shared" si="0"/>
        <v>27.930185185185184</v>
      </c>
      <c r="M61" s="45">
        <f t="shared" si="1"/>
        <v>61.208703703703698</v>
      </c>
      <c r="N61" s="46">
        <f>E61*$H61/'Parameters | Agora'!$B$19*$J61</f>
        <v>495.61222222222227</v>
      </c>
      <c r="O61" s="46">
        <f>F61*$H61/'Parameters | Agora'!$B$19*$J61</f>
        <v>167.58111111111111</v>
      </c>
      <c r="P61" s="46">
        <f>G61*$H61/'Parameters | Agora'!$B$19*$J61</f>
        <v>367.2522222222222</v>
      </c>
    </row>
    <row r="62" spans="1:16">
      <c r="A62" s="43" t="s">
        <v>422</v>
      </c>
      <c r="B62" s="43" t="s">
        <v>423</v>
      </c>
      <c r="C62" s="43" t="s">
        <v>115</v>
      </c>
      <c r="D62" s="43" t="s">
        <v>121</v>
      </c>
      <c r="E62" s="44">
        <f>INDEX('Parameters | Agora'!$B$25:$D$33,MATCH($C62,'Parameters | Agora'!$A$25:$A$33,0),MATCH(E$1,'Parameters | Agora'!$B$24:$D$24,0))</f>
        <v>0.13900000000000001</v>
      </c>
      <c r="F62" s="44">
        <f>INDEX('Parameters | Agora'!$B$25:$D$33,MATCH($C62,'Parameters | Agora'!$A$25:$A$33,0),MATCH(F$1,'Parameters | Agora'!$B$24:$D$24,0))</f>
        <v>4.7E-2</v>
      </c>
      <c r="G62" s="44">
        <f>INDEX('Parameters | Agora'!$B$25:$D$33,MATCH($C62,'Parameters | Agora'!$A$25:$A$33,0),MATCH(G$1,'Parameters | Agora'!$B$24:$D$24,0))</f>
        <v>0.10299999999999999</v>
      </c>
      <c r="H62" s="42">
        <v>27120</v>
      </c>
      <c r="I62" s="8">
        <f>'Parameters | Agora'!$B$22</f>
        <v>1080</v>
      </c>
      <c r="J62" s="15">
        <f>'Parameters | Agora'!$B$21</f>
        <v>20</v>
      </c>
      <c r="K62" s="45">
        <f t="shared" si="2"/>
        <v>69.808888888888902</v>
      </c>
      <c r="L62" s="45">
        <f t="shared" si="0"/>
        <v>23.604444444444447</v>
      </c>
      <c r="M62" s="45">
        <f t="shared" si="1"/>
        <v>51.728888888888882</v>
      </c>
      <c r="N62" s="46">
        <f>E62*$H62/'Parameters | Agora'!$B$19*$J62</f>
        <v>418.85333333333335</v>
      </c>
      <c r="O62" s="46">
        <f>F62*$H62/'Parameters | Agora'!$B$19*$J62</f>
        <v>141.62666666666669</v>
      </c>
      <c r="P62" s="46">
        <f>G62*$H62/'Parameters | Agora'!$B$19*$J62</f>
        <v>310.37333333333328</v>
      </c>
    </row>
    <row r="63" spans="1:16">
      <c r="A63" s="43" t="s">
        <v>424</v>
      </c>
      <c r="B63" s="43" t="s">
        <v>425</v>
      </c>
      <c r="C63" s="43" t="s">
        <v>119</v>
      </c>
      <c r="D63" s="43" t="s">
        <v>319</v>
      </c>
      <c r="E63" s="44">
        <f>INDEX('Parameters | Agora'!$B$25:$D$33,MATCH($C63,'Parameters | Agora'!$A$25:$A$33,0),MATCH(E$1,'Parameters | Agora'!$B$24:$D$24,0))</f>
        <v>0.14399999999999999</v>
      </c>
      <c r="F63" s="44">
        <f>INDEX('Parameters | Agora'!$B$25:$D$33,MATCH($C63,'Parameters | Agora'!$A$25:$A$33,0),MATCH(F$1,'Parameters | Agora'!$B$24:$D$24,0))</f>
        <v>0.106</v>
      </c>
      <c r="G63" s="44">
        <f>INDEX('Parameters | Agora'!$B$25:$D$33,MATCH($C63,'Parameters | Agora'!$A$25:$A$33,0),MATCH(G$1,'Parameters | Agora'!$B$24:$D$24,0))</f>
        <v>0.21</v>
      </c>
      <c r="H63" s="42">
        <v>1020</v>
      </c>
      <c r="I63" s="8">
        <f>'Parameters | Agora'!$B$22</f>
        <v>1080</v>
      </c>
      <c r="J63" s="15">
        <f>'Parameters | Agora'!$B$21</f>
        <v>20</v>
      </c>
      <c r="K63" s="45">
        <f t="shared" si="2"/>
        <v>2.7199999999999998</v>
      </c>
      <c r="L63" s="45">
        <f t="shared" si="0"/>
        <v>2.0022222222222221</v>
      </c>
      <c r="M63" s="45">
        <f t="shared" si="1"/>
        <v>3.9666666666666668</v>
      </c>
      <c r="N63" s="46">
        <f>E63*$H63/'Parameters | Agora'!$B$19*$J63</f>
        <v>16.32</v>
      </c>
      <c r="O63" s="46">
        <f>F63*$H63/'Parameters | Agora'!$B$19*$J63</f>
        <v>12.013333333333332</v>
      </c>
      <c r="P63" s="46">
        <f>G63*$H63/'Parameters | Agora'!$B$19*$J63</f>
        <v>23.799999999999997</v>
      </c>
    </row>
    <row r="64" spans="1:16">
      <c r="A64" s="43" t="s">
        <v>428</v>
      </c>
      <c r="B64" s="43" t="s">
        <v>429</v>
      </c>
      <c r="C64" s="43" t="s">
        <v>115</v>
      </c>
      <c r="D64" s="43" t="s">
        <v>121</v>
      </c>
      <c r="E64" s="44">
        <f>INDEX('Parameters | Agora'!$B$25:$D$33,MATCH($C64,'Parameters | Agora'!$A$25:$A$33,0),MATCH(E$1,'Parameters | Agora'!$B$24:$D$24,0))</f>
        <v>0.13900000000000001</v>
      </c>
      <c r="F64" s="44">
        <f>INDEX('Parameters | Agora'!$B$25:$D$33,MATCH($C64,'Parameters | Agora'!$A$25:$A$33,0),MATCH(F$1,'Parameters | Agora'!$B$24:$D$24,0))</f>
        <v>4.7E-2</v>
      </c>
      <c r="G64" s="44">
        <f>INDEX('Parameters | Agora'!$B$25:$D$33,MATCH($C64,'Parameters | Agora'!$A$25:$A$33,0),MATCH(G$1,'Parameters | Agora'!$B$24:$D$24,0))</f>
        <v>0.10299999999999999</v>
      </c>
      <c r="H64" s="42">
        <v>54930</v>
      </c>
      <c r="I64" s="8">
        <f>'Parameters | Agora'!$B$22</f>
        <v>1080</v>
      </c>
      <c r="J64" s="15">
        <f>'Parameters | Agora'!$B$21</f>
        <v>20</v>
      </c>
      <c r="K64" s="45">
        <f t="shared" si="2"/>
        <v>141.39388888888891</v>
      </c>
      <c r="L64" s="45">
        <f t="shared" si="0"/>
        <v>47.809444444444445</v>
      </c>
      <c r="M64" s="45">
        <f t="shared" si="1"/>
        <v>104.77388888888889</v>
      </c>
      <c r="N64" s="46">
        <f>E64*$H64/'Parameters | Agora'!$B$19*$J64</f>
        <v>848.36333333333346</v>
      </c>
      <c r="O64" s="46">
        <f>F64*$H64/'Parameters | Agora'!$B$19*$J64</f>
        <v>286.85666666666668</v>
      </c>
      <c r="P64" s="46">
        <f>G64*$H64/'Parameters | Agora'!$B$19*$J64</f>
        <v>628.64333333333332</v>
      </c>
    </row>
    <row r="65" spans="1:16">
      <c r="A65" s="43" t="s">
        <v>426</v>
      </c>
      <c r="B65" s="43" t="s">
        <v>427</v>
      </c>
      <c r="C65" s="43" t="s">
        <v>114</v>
      </c>
      <c r="D65" s="43" t="s">
        <v>322</v>
      </c>
      <c r="E65" s="44">
        <f>INDEX('Parameters | Agora'!$B$25:$D$33,MATCH($C65,'Parameters | Agora'!$A$25:$A$33,0),MATCH(E$1,'Parameters | Agora'!$B$24:$D$24,0))</f>
        <v>0.13600000000000001</v>
      </c>
      <c r="F65" s="44">
        <f>INDEX('Parameters | Agora'!$B$25:$D$33,MATCH($C65,'Parameters | Agora'!$A$25:$A$33,0),MATCH(F$1,'Parameters | Agora'!$B$24:$D$24,0))</f>
        <v>5.2999999999999999E-2</v>
      </c>
      <c r="G65" s="44">
        <f>INDEX('Parameters | Agora'!$B$25:$D$33,MATCH($C65,'Parameters | Agora'!$A$25:$A$33,0),MATCH(G$1,'Parameters | Agora'!$B$24:$D$24,0))</f>
        <v>0.14799999999999999</v>
      </c>
      <c r="H65" s="42">
        <v>5390</v>
      </c>
      <c r="I65" s="8">
        <f>'Parameters | Agora'!$B$22</f>
        <v>1080</v>
      </c>
      <c r="J65" s="15">
        <f>'Parameters | Agora'!$B$21</f>
        <v>20</v>
      </c>
      <c r="K65" s="45">
        <f t="shared" si="2"/>
        <v>13.574814814814818</v>
      </c>
      <c r="L65" s="45">
        <f t="shared" si="0"/>
        <v>5.2901851851851855</v>
      </c>
      <c r="M65" s="45">
        <f t="shared" si="1"/>
        <v>14.772592592592591</v>
      </c>
      <c r="N65" s="46">
        <f>E65*$H65/'Parameters | Agora'!$B$19*$J65</f>
        <v>81.448888888888888</v>
      </c>
      <c r="O65" s="46">
        <f>F65*$H65/'Parameters | Agora'!$B$19*$J65</f>
        <v>31.741111111111113</v>
      </c>
      <c r="P65" s="46">
        <f>G65*$H65/'Parameters | Agora'!$B$19*$J65</f>
        <v>88.635555555555555</v>
      </c>
    </row>
    <row r="66" spans="1:16">
      <c r="A66" s="43" t="s">
        <v>55</v>
      </c>
      <c r="B66" s="43" t="s">
        <v>56</v>
      </c>
      <c r="C66" s="43" t="s">
        <v>115</v>
      </c>
      <c r="D66" s="43" t="s">
        <v>121</v>
      </c>
      <c r="E66" s="44">
        <f>INDEX('Parameters | Agora'!$B$25:$D$33,MATCH($C66,'Parameters | Agora'!$A$25:$A$33,0),MATCH(E$1,'Parameters | Agora'!$B$24:$D$24,0))</f>
        <v>0.13900000000000001</v>
      </c>
      <c r="F66" s="44">
        <f>INDEX('Parameters | Agora'!$B$25:$D$33,MATCH($C66,'Parameters | Agora'!$A$25:$A$33,0),MATCH(F$1,'Parameters | Agora'!$B$24:$D$24,0))</f>
        <v>4.7E-2</v>
      </c>
      <c r="G66" s="44">
        <f>INDEX('Parameters | Agora'!$B$25:$D$33,MATCH($C66,'Parameters | Agora'!$A$25:$A$33,0),MATCH(G$1,'Parameters | Agora'!$B$24:$D$24,0))</f>
        <v>0.10299999999999999</v>
      </c>
      <c r="H66" s="42">
        <v>45290</v>
      </c>
      <c r="I66" s="8">
        <f>'Parameters | Agora'!$B$22</f>
        <v>1080</v>
      </c>
      <c r="J66" s="15">
        <f>'Parameters | Agora'!$B$21</f>
        <v>20</v>
      </c>
      <c r="K66" s="45">
        <f t="shared" si="2"/>
        <v>116.57981481481482</v>
      </c>
      <c r="L66" s="45">
        <f t="shared" ref="L66:L129" si="3">F66*$H66/$I66*$J66</f>
        <v>39.419074074074075</v>
      </c>
      <c r="M66" s="45">
        <f t="shared" ref="M66:M129" si="4">G66*$H66/$I66*$J66</f>
        <v>86.386481481481482</v>
      </c>
      <c r="N66" s="46">
        <f>E66*$H66/'Parameters | Agora'!$B$19*$J66</f>
        <v>699.47888888888895</v>
      </c>
      <c r="O66" s="46">
        <f>F66*$H66/'Parameters | Agora'!$B$19*$J66</f>
        <v>236.51444444444448</v>
      </c>
      <c r="P66" s="46">
        <f>G66*$H66/'Parameters | Agora'!$B$19*$J66</f>
        <v>518.31888888888886</v>
      </c>
    </row>
    <row r="67" spans="1:16">
      <c r="A67" s="43" t="s">
        <v>748</v>
      </c>
      <c r="B67" s="43" t="s">
        <v>749</v>
      </c>
      <c r="C67" s="43" t="s">
        <v>115</v>
      </c>
      <c r="D67" s="43" t="s">
        <v>121</v>
      </c>
      <c r="E67" s="44">
        <f>INDEX('Parameters | Agora'!$B$25:$D$33,MATCH($C67,'Parameters | Agora'!$A$25:$A$33,0),MATCH(E$1,'Parameters | Agora'!$B$24:$D$24,0))</f>
        <v>0.13900000000000001</v>
      </c>
      <c r="F67" s="44">
        <f>INDEX('Parameters | Agora'!$B$25:$D$33,MATCH($C67,'Parameters | Agora'!$A$25:$A$33,0),MATCH(F$1,'Parameters | Agora'!$B$24:$D$24,0))</f>
        <v>4.7E-2</v>
      </c>
      <c r="G67" s="44">
        <f>INDEX('Parameters | Agora'!$B$25:$D$33,MATCH($C67,'Parameters | Agora'!$A$25:$A$33,0),MATCH(G$1,'Parameters | Agora'!$B$24:$D$24,0))</f>
        <v>0.10299999999999999</v>
      </c>
      <c r="H67" s="42">
        <v>74420</v>
      </c>
      <c r="I67" s="8">
        <f>'Parameters | Agora'!$B$22</f>
        <v>1080</v>
      </c>
      <c r="J67" s="15">
        <f>'Parameters | Agora'!$B$21</f>
        <v>20</v>
      </c>
      <c r="K67" s="45">
        <f t="shared" ref="K67:K130" si="5">E67*$H67/$I67*$J67</f>
        <v>191.56259259259261</v>
      </c>
      <c r="L67" s="45">
        <f t="shared" si="3"/>
        <v>64.772962962962964</v>
      </c>
      <c r="M67" s="45">
        <f t="shared" si="4"/>
        <v>141.94925925925924</v>
      </c>
      <c r="N67" s="46">
        <f>E67*$H67/'Parameters | Agora'!$B$19*$J67</f>
        <v>1149.3755555555556</v>
      </c>
      <c r="O67" s="46">
        <f>F67*$H67/'Parameters | Agora'!$B$19*$J67</f>
        <v>388.63777777777779</v>
      </c>
      <c r="P67" s="46">
        <f>G67*$H67/'Parameters | Agora'!$B$19*$J67</f>
        <v>851.69555555555553</v>
      </c>
    </row>
    <row r="68" spans="1:16">
      <c r="A68" s="43" t="s">
        <v>528</v>
      </c>
      <c r="B68" s="43" t="s">
        <v>529</v>
      </c>
      <c r="C68" s="43" t="s">
        <v>114</v>
      </c>
      <c r="D68" s="43" t="s">
        <v>325</v>
      </c>
      <c r="E68" s="44">
        <f>INDEX('Parameters | Agora'!$B$25:$D$33,MATCH($C68,'Parameters | Agora'!$A$25:$A$33,0),MATCH(E$1,'Parameters | Agora'!$B$24:$D$24,0))</f>
        <v>0.13600000000000001</v>
      </c>
      <c r="F68" s="44">
        <f>INDEX('Parameters | Agora'!$B$25:$D$33,MATCH($C68,'Parameters | Agora'!$A$25:$A$33,0),MATCH(F$1,'Parameters | Agora'!$B$24:$D$24,0))</f>
        <v>5.2999999999999999E-2</v>
      </c>
      <c r="G68" s="44">
        <f>INDEX('Parameters | Agora'!$B$25:$D$33,MATCH($C68,'Parameters | Agora'!$A$25:$A$33,0),MATCH(G$1,'Parameters | Agora'!$B$24:$D$24,0))</f>
        <v>0.14799999999999999</v>
      </c>
      <c r="H68" s="42">
        <v>4140</v>
      </c>
      <c r="I68" s="8">
        <f>'Parameters | Agora'!$B$22</f>
        <v>1080</v>
      </c>
      <c r="J68" s="15">
        <f>'Parameters | Agora'!$B$21</f>
        <v>20</v>
      </c>
      <c r="K68" s="45">
        <f t="shared" si="5"/>
        <v>10.426666666666669</v>
      </c>
      <c r="L68" s="45">
        <f t="shared" si="3"/>
        <v>4.0633333333333335</v>
      </c>
      <c r="M68" s="45">
        <f t="shared" si="4"/>
        <v>11.346666666666664</v>
      </c>
      <c r="N68" s="46">
        <f>E68*$H68/'Parameters | Agora'!$B$19*$J68</f>
        <v>62.560000000000009</v>
      </c>
      <c r="O68" s="46">
        <f>F68*$H68/'Parameters | Agora'!$B$19*$J68</f>
        <v>24.379999999999995</v>
      </c>
      <c r="P68" s="46">
        <f>G68*$H68/'Parameters | Agora'!$B$19*$J68</f>
        <v>68.079999999999984</v>
      </c>
    </row>
    <row r="69" spans="1:16">
      <c r="A69" s="43" t="s">
        <v>430</v>
      </c>
      <c r="B69" s="43" t="s">
        <v>431</v>
      </c>
      <c r="C69" s="43" t="s">
        <v>119</v>
      </c>
      <c r="D69" s="43" t="s">
        <v>322</v>
      </c>
      <c r="E69" s="44">
        <f>INDEX('Parameters | Agora'!$B$25:$D$33,MATCH($C69,'Parameters | Agora'!$A$25:$A$33,0),MATCH(E$1,'Parameters | Agora'!$B$24:$D$24,0))</f>
        <v>0.14399999999999999</v>
      </c>
      <c r="F69" s="44">
        <f>INDEX('Parameters | Agora'!$B$25:$D$33,MATCH($C69,'Parameters | Agora'!$A$25:$A$33,0),MATCH(F$1,'Parameters | Agora'!$B$24:$D$24,0))</f>
        <v>0.106</v>
      </c>
      <c r="G69" s="44">
        <f>INDEX('Parameters | Agora'!$B$25:$D$33,MATCH($C69,'Parameters | Agora'!$A$25:$A$33,0),MATCH(G$1,'Parameters | Agora'!$B$24:$D$24,0))</f>
        <v>0.21</v>
      </c>
      <c r="H69" s="42">
        <v>7530</v>
      </c>
      <c r="I69" s="8">
        <f>'Parameters | Agora'!$B$22</f>
        <v>1080</v>
      </c>
      <c r="J69" s="15">
        <f>'Parameters | Agora'!$B$21</f>
        <v>20</v>
      </c>
      <c r="K69" s="45">
        <f t="shared" si="5"/>
        <v>20.079999999999998</v>
      </c>
      <c r="L69" s="45">
        <f t="shared" si="3"/>
        <v>14.781111111111109</v>
      </c>
      <c r="M69" s="45">
        <f t="shared" si="4"/>
        <v>29.283333333333331</v>
      </c>
      <c r="N69" s="46">
        <f>E69*$H69/'Parameters | Agora'!$B$19*$J69</f>
        <v>120.48</v>
      </c>
      <c r="O69" s="46">
        <f>F69*$H69/'Parameters | Agora'!$B$19*$J69</f>
        <v>88.686666666666667</v>
      </c>
      <c r="P69" s="46">
        <f>G69*$H69/'Parameters | Agora'!$B$19*$J69</f>
        <v>175.7</v>
      </c>
    </row>
    <row r="70" spans="1:16">
      <c r="A70" s="43" t="s">
        <v>662</v>
      </c>
      <c r="B70" s="43" t="s">
        <v>663</v>
      </c>
      <c r="C70" s="43" t="s">
        <v>115</v>
      </c>
      <c r="D70" s="43" t="s">
        <v>121</v>
      </c>
      <c r="E70" s="44">
        <f>INDEX('Parameters | Agora'!$B$25:$D$33,MATCH($C70,'Parameters | Agora'!$A$25:$A$33,0),MATCH(E$1,'Parameters | Agora'!$B$24:$D$24,0))</f>
        <v>0.13900000000000001</v>
      </c>
      <c r="F70" s="44">
        <f>INDEX('Parameters | Agora'!$B$25:$D$33,MATCH($C70,'Parameters | Agora'!$A$25:$A$33,0),MATCH(F$1,'Parameters | Agora'!$B$24:$D$24,0))</f>
        <v>4.7E-2</v>
      </c>
      <c r="G70" s="44">
        <f>INDEX('Parameters | Agora'!$B$25:$D$33,MATCH($C70,'Parameters | Agora'!$A$25:$A$33,0),MATCH(G$1,'Parameters | Agora'!$B$24:$D$24,0))</f>
        <v>0.10299999999999999</v>
      </c>
      <c r="H70" s="42">
        <v>49240</v>
      </c>
      <c r="I70" s="8">
        <f>'Parameters | Agora'!$B$22</f>
        <v>1080</v>
      </c>
      <c r="J70" s="15">
        <f>'Parameters | Agora'!$B$21</f>
        <v>20</v>
      </c>
      <c r="K70" s="45">
        <f t="shared" si="5"/>
        <v>126.74740740740742</v>
      </c>
      <c r="L70" s="45">
        <f t="shared" si="3"/>
        <v>42.857037037037038</v>
      </c>
      <c r="M70" s="45">
        <f t="shared" si="4"/>
        <v>93.920740740740726</v>
      </c>
      <c r="N70" s="46">
        <f>E70*$H70/'Parameters | Agora'!$B$19*$J70</f>
        <v>760.48444444444453</v>
      </c>
      <c r="O70" s="46">
        <f>F70*$H70/'Parameters | Agora'!$B$19*$J70</f>
        <v>257.14222222222224</v>
      </c>
      <c r="P70" s="46">
        <f>G70*$H70/'Parameters | Agora'!$B$19*$J70</f>
        <v>563.52444444444438</v>
      </c>
    </row>
    <row r="71" spans="1:16">
      <c r="A71" s="43" t="s">
        <v>434</v>
      </c>
      <c r="B71" s="43" t="s">
        <v>435</v>
      </c>
      <c r="C71" s="43" t="s">
        <v>115</v>
      </c>
      <c r="D71" s="43" t="s">
        <v>322</v>
      </c>
      <c r="E71" s="44">
        <f>INDEX('Parameters | Agora'!$B$25:$D$33,MATCH($C71,'Parameters | Agora'!$A$25:$A$33,0),MATCH(E$1,'Parameters | Agora'!$B$24:$D$24,0))</f>
        <v>0.13900000000000001</v>
      </c>
      <c r="F71" s="44">
        <f>INDEX('Parameters | Agora'!$B$25:$D$33,MATCH($C71,'Parameters | Agora'!$A$25:$A$33,0),MATCH(F$1,'Parameters | Agora'!$B$24:$D$24,0))</f>
        <v>4.7E-2</v>
      </c>
      <c r="G71" s="44">
        <f>INDEX('Parameters | Agora'!$B$25:$D$33,MATCH($C71,'Parameters | Agora'!$A$25:$A$33,0),MATCH(G$1,'Parameters | Agora'!$B$24:$D$24,0))</f>
        <v>0.10299999999999999</v>
      </c>
      <c r="H71" s="42">
        <v>5600</v>
      </c>
      <c r="I71" s="8">
        <f>'Parameters | Agora'!$B$22</f>
        <v>1080</v>
      </c>
      <c r="J71" s="15">
        <f>'Parameters | Agora'!$B$21</f>
        <v>20</v>
      </c>
      <c r="K71" s="45">
        <f t="shared" si="5"/>
        <v>14.414814814814816</v>
      </c>
      <c r="L71" s="45">
        <f t="shared" si="3"/>
        <v>4.8740740740740742</v>
      </c>
      <c r="M71" s="45">
        <f t="shared" si="4"/>
        <v>10.68148148148148</v>
      </c>
      <c r="N71" s="46">
        <f>E71*$H71/'Parameters | Agora'!$B$19*$J71</f>
        <v>86.488888888888894</v>
      </c>
      <c r="O71" s="46">
        <f>F71*$H71/'Parameters | Agora'!$B$19*$J71</f>
        <v>29.24444444444444</v>
      </c>
      <c r="P71" s="46">
        <f>G71*$H71/'Parameters | Agora'!$B$19*$J71</f>
        <v>64.088888888888874</v>
      </c>
    </row>
    <row r="72" spans="1:16">
      <c r="A72" s="43" t="s">
        <v>438</v>
      </c>
      <c r="B72" s="43" t="s">
        <v>439</v>
      </c>
      <c r="C72" s="43" t="s">
        <v>119</v>
      </c>
      <c r="D72" s="43" t="s">
        <v>325</v>
      </c>
      <c r="E72" s="44">
        <f>INDEX('Parameters | Agora'!$B$25:$D$33,MATCH($C72,'Parameters | Agora'!$A$25:$A$33,0),MATCH(E$1,'Parameters | Agora'!$B$24:$D$24,0))</f>
        <v>0.14399999999999999</v>
      </c>
      <c r="F72" s="44">
        <f>INDEX('Parameters | Agora'!$B$25:$D$33,MATCH($C72,'Parameters | Agora'!$A$25:$A$33,0),MATCH(F$1,'Parameters | Agora'!$B$24:$D$24,0))</f>
        <v>0.106</v>
      </c>
      <c r="G72" s="44">
        <f>INDEX('Parameters | Agora'!$B$25:$D$33,MATCH($C72,'Parameters | Agora'!$A$25:$A$33,0),MATCH(G$1,'Parameters | Agora'!$B$24:$D$24,0))</f>
        <v>0.21</v>
      </c>
      <c r="H72" s="42">
        <v>2380</v>
      </c>
      <c r="I72" s="8">
        <f>'Parameters | Agora'!$B$22</f>
        <v>1080</v>
      </c>
      <c r="J72" s="15">
        <f>'Parameters | Agora'!$B$21</f>
        <v>20</v>
      </c>
      <c r="K72" s="45">
        <f t="shared" si="5"/>
        <v>6.3466666666666658</v>
      </c>
      <c r="L72" s="45">
        <f t="shared" si="3"/>
        <v>4.6718518518518524</v>
      </c>
      <c r="M72" s="45">
        <f t="shared" si="4"/>
        <v>9.2555555555555546</v>
      </c>
      <c r="N72" s="46">
        <f>E72*$H72/'Parameters | Agora'!$B$19*$J72</f>
        <v>38.08</v>
      </c>
      <c r="O72" s="46">
        <f>F72*$H72/'Parameters | Agora'!$B$19*$J72</f>
        <v>28.031111111111112</v>
      </c>
      <c r="P72" s="46">
        <f>G72*$H72/'Parameters | Agora'!$B$19*$J72</f>
        <v>55.533333333333331</v>
      </c>
    </row>
    <row r="73" spans="1:16">
      <c r="A73" s="43" t="s">
        <v>750</v>
      </c>
      <c r="B73" s="43" t="s">
        <v>751</v>
      </c>
      <c r="C73" s="43" t="s">
        <v>115</v>
      </c>
      <c r="D73" s="43" t="s">
        <v>121</v>
      </c>
      <c r="E73" s="44">
        <f>INDEX('Parameters | Agora'!$B$25:$D$33,MATCH($C73,'Parameters | Agora'!$A$25:$A$33,0),MATCH(E$1,'Parameters | Agora'!$B$24:$D$24,0))</f>
        <v>0.13900000000000001</v>
      </c>
      <c r="F73" s="44">
        <f>INDEX('Parameters | Agora'!$B$25:$D$33,MATCH($C73,'Parameters | Agora'!$A$25:$A$33,0),MATCH(F$1,'Parameters | Agora'!$B$24:$D$24,0))</f>
        <v>4.7E-2</v>
      </c>
      <c r="G73" s="44">
        <f>INDEX('Parameters | Agora'!$B$25:$D$33,MATCH($C73,'Parameters | Agora'!$A$25:$A$33,0),MATCH(G$1,'Parameters | Agora'!$B$24:$D$24,0))</f>
        <v>0.10299999999999999</v>
      </c>
      <c r="H73" s="42">
        <v>51299.482727272727</v>
      </c>
      <c r="I73" s="8">
        <f>'Parameters | Agora'!$B$22</f>
        <v>1080</v>
      </c>
      <c r="J73" s="15">
        <f>'Parameters | Agora'!$B$21</f>
        <v>20</v>
      </c>
      <c r="K73" s="45">
        <f t="shared" si="5"/>
        <v>132.04866850168352</v>
      </c>
      <c r="L73" s="45">
        <f t="shared" si="3"/>
        <v>44.649549781144785</v>
      </c>
      <c r="M73" s="45">
        <f t="shared" si="4"/>
        <v>97.849013350168335</v>
      </c>
      <c r="N73" s="46">
        <f>E73*$H73/'Parameters | Agora'!$B$19*$J73</f>
        <v>792.29201101010108</v>
      </c>
      <c r="O73" s="46">
        <f>F73*$H73/'Parameters | Agora'!$B$19*$J73</f>
        <v>267.89729868686868</v>
      </c>
      <c r="P73" s="46">
        <f>G73*$H73/'Parameters | Agora'!$B$19*$J73</f>
        <v>587.09408010101004</v>
      </c>
    </row>
    <row r="74" spans="1:16">
      <c r="A74" s="43" t="s">
        <v>446</v>
      </c>
      <c r="B74" s="43" t="s">
        <v>447</v>
      </c>
      <c r="C74" s="43" t="s">
        <v>119</v>
      </c>
      <c r="D74" s="43" t="s">
        <v>325</v>
      </c>
      <c r="E74" s="44">
        <f>INDEX('Parameters | Agora'!$B$25:$D$33,MATCH($C74,'Parameters | Agora'!$A$25:$A$33,0),MATCH(E$1,'Parameters | Agora'!$B$24:$D$24,0))</f>
        <v>0.14399999999999999</v>
      </c>
      <c r="F74" s="44">
        <f>INDEX('Parameters | Agora'!$B$25:$D$33,MATCH($C74,'Parameters | Agora'!$A$25:$A$33,0),MATCH(F$1,'Parameters | Agora'!$B$24:$D$24,0))</f>
        <v>0.106</v>
      </c>
      <c r="G74" s="44">
        <f>INDEX('Parameters | Agora'!$B$25:$D$33,MATCH($C74,'Parameters | Agora'!$A$25:$A$33,0),MATCH(G$1,'Parameters | Agora'!$B$24:$D$24,0))</f>
        <v>0.21</v>
      </c>
      <c r="H74" s="42">
        <v>1190</v>
      </c>
      <c r="I74" s="8">
        <f>'Parameters | Agora'!$B$22</f>
        <v>1080</v>
      </c>
      <c r="J74" s="15">
        <f>'Parameters | Agora'!$B$21</f>
        <v>20</v>
      </c>
      <c r="K74" s="45">
        <f t="shared" si="5"/>
        <v>3.1733333333333329</v>
      </c>
      <c r="L74" s="45">
        <f t="shared" si="3"/>
        <v>2.3359259259259262</v>
      </c>
      <c r="M74" s="45">
        <f t="shared" si="4"/>
        <v>4.6277777777777773</v>
      </c>
      <c r="N74" s="46">
        <f>E74*$H74/'Parameters | Agora'!$B$19*$J74</f>
        <v>19.04</v>
      </c>
      <c r="O74" s="46">
        <f>F74*$H74/'Parameters | Agora'!$B$19*$J74</f>
        <v>14.015555555555556</v>
      </c>
      <c r="P74" s="46">
        <f>G74*$H74/'Parameters | Agora'!$B$19*$J74</f>
        <v>27.766666666666666</v>
      </c>
    </row>
    <row r="75" spans="1:16">
      <c r="A75" s="43" t="s">
        <v>432</v>
      </c>
      <c r="B75" s="43" t="s">
        <v>433</v>
      </c>
      <c r="C75" s="43" t="s">
        <v>119</v>
      </c>
      <c r="D75" s="43" t="s">
        <v>319</v>
      </c>
      <c r="E75" s="44">
        <f>INDEX('Parameters | Agora'!$B$25:$D$33,MATCH($C75,'Parameters | Agora'!$A$25:$A$33,0),MATCH(E$1,'Parameters | Agora'!$B$24:$D$24,0))</f>
        <v>0.14399999999999999</v>
      </c>
      <c r="F75" s="44">
        <f>INDEX('Parameters | Agora'!$B$25:$D$33,MATCH($C75,'Parameters | Agora'!$A$25:$A$33,0),MATCH(F$1,'Parameters | Agora'!$B$24:$D$24,0))</f>
        <v>0.106</v>
      </c>
      <c r="G75" s="44">
        <f>INDEX('Parameters | Agora'!$B$25:$D$33,MATCH($C75,'Parameters | Agora'!$A$25:$A$33,0),MATCH(G$1,'Parameters | Agora'!$B$24:$D$24,0))</f>
        <v>0.21</v>
      </c>
      <c r="H75" s="42">
        <v>800</v>
      </c>
      <c r="I75" s="8">
        <f>'Parameters | Agora'!$B$22</f>
        <v>1080</v>
      </c>
      <c r="J75" s="15">
        <f>'Parameters | Agora'!$B$21</f>
        <v>20</v>
      </c>
      <c r="K75" s="45">
        <f t="shared" si="5"/>
        <v>2.1333333333333333</v>
      </c>
      <c r="L75" s="45">
        <f t="shared" si="3"/>
        <v>1.5703703703703704</v>
      </c>
      <c r="M75" s="45">
        <f t="shared" si="4"/>
        <v>3.1111111111111112</v>
      </c>
      <c r="N75" s="46">
        <f>E75*$H75/'Parameters | Agora'!$B$19*$J75</f>
        <v>12.799999999999997</v>
      </c>
      <c r="O75" s="46">
        <f>F75*$H75/'Parameters | Agora'!$B$19*$J75</f>
        <v>9.4222222222222225</v>
      </c>
      <c r="P75" s="46">
        <f>G75*$H75/'Parameters | Agora'!$B$19*$J75</f>
        <v>18.666666666666668</v>
      </c>
    </row>
    <row r="76" spans="1:16">
      <c r="A76" s="43" t="s">
        <v>448</v>
      </c>
      <c r="B76" s="43" t="s">
        <v>449</v>
      </c>
      <c r="C76" s="43" t="s">
        <v>119</v>
      </c>
      <c r="D76" s="43" t="s">
        <v>319</v>
      </c>
      <c r="E76" s="44">
        <f>INDEX('Parameters | Agora'!$B$25:$D$33,MATCH($C76,'Parameters | Agora'!$A$25:$A$33,0),MATCH(E$1,'Parameters | Agora'!$B$24:$D$24,0))</f>
        <v>0.14399999999999999</v>
      </c>
      <c r="F76" s="44">
        <f>INDEX('Parameters | Agora'!$B$25:$D$33,MATCH($C76,'Parameters | Agora'!$A$25:$A$33,0),MATCH(F$1,'Parameters | Agora'!$B$24:$D$24,0))</f>
        <v>0.106</v>
      </c>
      <c r="G76" s="44">
        <f>INDEX('Parameters | Agora'!$B$25:$D$33,MATCH($C76,'Parameters | Agora'!$A$25:$A$33,0),MATCH(G$1,'Parameters | Agora'!$B$24:$D$24,0))</f>
        <v>0.21</v>
      </c>
      <c r="H76" s="42">
        <v>820</v>
      </c>
      <c r="I76" s="8">
        <f>'Parameters | Agora'!$B$22</f>
        <v>1080</v>
      </c>
      <c r="J76" s="15">
        <f>'Parameters | Agora'!$B$21</f>
        <v>20</v>
      </c>
      <c r="K76" s="45">
        <f t="shared" si="5"/>
        <v>2.1866666666666665</v>
      </c>
      <c r="L76" s="45">
        <f t="shared" si="3"/>
        <v>1.6096296296296297</v>
      </c>
      <c r="M76" s="45">
        <f t="shared" si="4"/>
        <v>3.1888888888888891</v>
      </c>
      <c r="N76" s="46">
        <f>E76*$H76/'Parameters | Agora'!$B$19*$J76</f>
        <v>13.119999999999997</v>
      </c>
      <c r="O76" s="46">
        <f>F76*$H76/'Parameters | Agora'!$B$19*$J76</f>
        <v>9.6577777777777776</v>
      </c>
      <c r="P76" s="46">
        <f>G76*$H76/'Parameters | Agora'!$B$19*$J76</f>
        <v>19.133333333333333</v>
      </c>
    </row>
    <row r="77" spans="1:16">
      <c r="A77" s="43" t="s">
        <v>420</v>
      </c>
      <c r="B77" s="43" t="s">
        <v>421</v>
      </c>
      <c r="C77" s="43" t="s">
        <v>119</v>
      </c>
      <c r="D77" s="43" t="s">
        <v>322</v>
      </c>
      <c r="E77" s="44">
        <f>INDEX('Parameters | Agora'!$B$25:$D$33,MATCH($C77,'Parameters | Agora'!$A$25:$A$33,0),MATCH(E$1,'Parameters | Agora'!$B$24:$D$24,0))</f>
        <v>0.14399999999999999</v>
      </c>
      <c r="F77" s="44">
        <f>INDEX('Parameters | Agora'!$B$25:$D$33,MATCH($C77,'Parameters | Agora'!$A$25:$A$33,0),MATCH(F$1,'Parameters | Agora'!$B$24:$D$24,0))</f>
        <v>0.106</v>
      </c>
      <c r="G77" s="44">
        <f>INDEX('Parameters | Agora'!$B$25:$D$33,MATCH($C77,'Parameters | Agora'!$A$25:$A$33,0),MATCH(G$1,'Parameters | Agora'!$B$24:$D$24,0))</f>
        <v>0.21</v>
      </c>
      <c r="H77" s="42">
        <v>5240</v>
      </c>
      <c r="I77" s="8">
        <f>'Parameters | Agora'!$B$22</f>
        <v>1080</v>
      </c>
      <c r="J77" s="15">
        <f>'Parameters | Agora'!$B$21</f>
        <v>20</v>
      </c>
      <c r="K77" s="45">
        <f t="shared" si="5"/>
        <v>13.973333333333333</v>
      </c>
      <c r="L77" s="45">
        <f t="shared" si="3"/>
        <v>10.285925925925925</v>
      </c>
      <c r="M77" s="45">
        <f t="shared" si="4"/>
        <v>20.377777777777773</v>
      </c>
      <c r="N77" s="46">
        <f>E77*$H77/'Parameters | Agora'!$B$19*$J77</f>
        <v>83.839999999999989</v>
      </c>
      <c r="O77" s="46">
        <f>F77*$H77/'Parameters | Agora'!$B$19*$J77</f>
        <v>61.715555555555554</v>
      </c>
      <c r="P77" s="46">
        <f>G77*$H77/'Parameters | Agora'!$B$19*$J77</f>
        <v>122.26666666666665</v>
      </c>
    </row>
    <row r="78" spans="1:16">
      <c r="A78" s="43" t="s">
        <v>440</v>
      </c>
      <c r="B78" s="43" t="s">
        <v>441</v>
      </c>
      <c r="C78" s="43" t="s">
        <v>115</v>
      </c>
      <c r="D78" s="43" t="s">
        <v>121</v>
      </c>
      <c r="E78" s="44">
        <f>INDEX('Parameters | Agora'!$B$25:$D$33,MATCH($C78,'Parameters | Agora'!$A$25:$A$33,0),MATCH(E$1,'Parameters | Agora'!$B$24:$D$24,0))</f>
        <v>0.13900000000000001</v>
      </c>
      <c r="F78" s="44">
        <f>INDEX('Parameters | Agora'!$B$25:$D$33,MATCH($C78,'Parameters | Agora'!$A$25:$A$33,0),MATCH(F$1,'Parameters | Agora'!$B$24:$D$24,0))</f>
        <v>4.7E-2</v>
      </c>
      <c r="G78" s="44">
        <f>INDEX('Parameters | Agora'!$B$25:$D$33,MATCH($C78,'Parameters | Agora'!$A$25:$A$33,0),MATCH(G$1,'Parameters | Agora'!$B$24:$D$24,0))</f>
        <v>0.10299999999999999</v>
      </c>
      <c r="H78" s="42">
        <v>21810</v>
      </c>
      <c r="I78" s="8">
        <f>'Parameters | Agora'!$B$22</f>
        <v>1080</v>
      </c>
      <c r="J78" s="15">
        <f>'Parameters | Agora'!$B$21</f>
        <v>20</v>
      </c>
      <c r="K78" s="45">
        <f t="shared" si="5"/>
        <v>56.140555555555558</v>
      </c>
      <c r="L78" s="45">
        <f t="shared" si="3"/>
        <v>18.982777777777777</v>
      </c>
      <c r="M78" s="45">
        <f t="shared" si="4"/>
        <v>41.600555555555552</v>
      </c>
      <c r="N78" s="46">
        <f>E78*$H78/'Parameters | Agora'!$B$19*$J78</f>
        <v>336.84333333333336</v>
      </c>
      <c r="O78" s="46">
        <f>F78*$H78/'Parameters | Agora'!$B$19*$J78</f>
        <v>113.89666666666668</v>
      </c>
      <c r="P78" s="46">
        <f>G78*$H78/'Parameters | Agora'!$B$19*$J78</f>
        <v>249.6033333333333</v>
      </c>
    </row>
    <row r="79" spans="1:16">
      <c r="A79" s="43" t="s">
        <v>442</v>
      </c>
      <c r="B79" s="43" t="s">
        <v>443</v>
      </c>
      <c r="C79" s="43" t="s">
        <v>116</v>
      </c>
      <c r="D79" s="43" t="s">
        <v>322</v>
      </c>
      <c r="E79" s="44">
        <f>INDEX('Parameters | Agora'!$B$25:$D$33,MATCH($C79,'Parameters | Agora'!$A$25:$A$33,0),MATCH(E$1,'Parameters | Agora'!$B$24:$D$24,0))</f>
        <v>7.8E-2</v>
      </c>
      <c r="F79" s="44">
        <f>INDEX('Parameters | Agora'!$B$25:$D$33,MATCH($C79,'Parameters | Agora'!$A$25:$A$33,0),MATCH(F$1,'Parameters | Agora'!$B$24:$D$24,0))</f>
        <v>5.3999999999999999E-2</v>
      </c>
      <c r="G79" s="44">
        <f>INDEX('Parameters | Agora'!$B$25:$D$33,MATCH($C79,'Parameters | Agora'!$A$25:$A$33,0),MATCH(G$1,'Parameters | Agora'!$B$24:$D$24,0))</f>
        <v>0.159</v>
      </c>
      <c r="H79" s="42">
        <v>9070</v>
      </c>
      <c r="I79" s="8">
        <f>'Parameters | Agora'!$B$22</f>
        <v>1080</v>
      </c>
      <c r="J79" s="15">
        <f>'Parameters | Agora'!$B$21</f>
        <v>20</v>
      </c>
      <c r="K79" s="45">
        <f t="shared" si="5"/>
        <v>13.101111111111113</v>
      </c>
      <c r="L79" s="45">
        <f t="shared" si="3"/>
        <v>9.0699999999999985</v>
      </c>
      <c r="M79" s="45">
        <f t="shared" si="4"/>
        <v>26.706111111111113</v>
      </c>
      <c r="N79" s="46">
        <f>E79*$H79/'Parameters | Agora'!$B$19*$J79</f>
        <v>78.606666666666669</v>
      </c>
      <c r="O79" s="46">
        <f>F79*$H79/'Parameters | Agora'!$B$19*$J79</f>
        <v>54.419999999999995</v>
      </c>
      <c r="P79" s="46">
        <f>G79*$H79/'Parameters | Agora'!$B$19*$J79</f>
        <v>160.23666666666668</v>
      </c>
    </row>
    <row r="80" spans="1:16">
      <c r="A80" s="43" t="s">
        <v>698</v>
      </c>
      <c r="B80" s="43" t="s">
        <v>699</v>
      </c>
      <c r="C80" s="43" t="s">
        <v>115</v>
      </c>
      <c r="D80" s="43" t="s">
        <v>121</v>
      </c>
      <c r="E80" s="44">
        <f>INDEX('Parameters | Agora'!$B$25:$D$33,MATCH($C80,'Parameters | Agora'!$A$25:$A$33,0),MATCH(E$1,'Parameters | Agora'!$B$24:$D$24,0))</f>
        <v>0.13900000000000001</v>
      </c>
      <c r="F80" s="44">
        <f>INDEX('Parameters | Agora'!$B$25:$D$33,MATCH($C80,'Parameters | Agora'!$A$25:$A$33,0),MATCH(F$1,'Parameters | Agora'!$B$24:$D$24,0))</f>
        <v>4.7E-2</v>
      </c>
      <c r="G80" s="44">
        <f>INDEX('Parameters | Agora'!$B$25:$D$33,MATCH($C80,'Parameters | Agora'!$A$25:$A$33,0),MATCH(G$1,'Parameters | Agora'!$B$24:$D$24,0))</f>
        <v>0.10299999999999999</v>
      </c>
      <c r="H80" s="42">
        <v>51299.482727272727</v>
      </c>
      <c r="I80" s="8">
        <f>'Parameters | Agora'!$B$22</f>
        <v>1080</v>
      </c>
      <c r="J80" s="15">
        <f>'Parameters | Agora'!$B$21</f>
        <v>20</v>
      </c>
      <c r="K80" s="45">
        <f t="shared" si="5"/>
        <v>132.04866850168352</v>
      </c>
      <c r="L80" s="45">
        <f t="shared" si="3"/>
        <v>44.649549781144785</v>
      </c>
      <c r="M80" s="45">
        <f t="shared" si="4"/>
        <v>97.849013350168335</v>
      </c>
      <c r="N80" s="46">
        <f>E80*$H80/'Parameters | Agora'!$B$19*$J80</f>
        <v>792.29201101010108</v>
      </c>
      <c r="O80" s="46">
        <f>F80*$H80/'Parameters | Agora'!$B$19*$J80</f>
        <v>267.89729868686868</v>
      </c>
      <c r="P80" s="46">
        <f>G80*$H80/'Parameters | Agora'!$B$19*$J80</f>
        <v>587.09408010101004</v>
      </c>
    </row>
    <row r="81" spans="1:16">
      <c r="A81" s="43" t="s">
        <v>444</v>
      </c>
      <c r="B81" s="43" t="s">
        <v>445</v>
      </c>
      <c r="C81" s="43" t="s">
        <v>116</v>
      </c>
      <c r="D81" s="43" t="s">
        <v>322</v>
      </c>
      <c r="E81" s="44">
        <f>INDEX('Parameters | Agora'!$B$25:$D$33,MATCH($C81,'Parameters | Agora'!$A$25:$A$33,0),MATCH(E$1,'Parameters | Agora'!$B$24:$D$24,0))</f>
        <v>7.8E-2</v>
      </c>
      <c r="F81" s="44">
        <f>INDEX('Parameters | Agora'!$B$25:$D$33,MATCH($C81,'Parameters | Agora'!$A$25:$A$33,0),MATCH(F$1,'Parameters | Agora'!$B$24:$D$24,0))</f>
        <v>5.3999999999999999E-2</v>
      </c>
      <c r="G81" s="44">
        <f>INDEX('Parameters | Agora'!$B$25:$D$33,MATCH($C81,'Parameters | Agora'!$A$25:$A$33,0),MATCH(G$1,'Parameters | Agora'!$B$24:$D$24,0))</f>
        <v>0.159</v>
      </c>
      <c r="H81" s="42">
        <v>5350</v>
      </c>
      <c r="I81" s="8">
        <f>'Parameters | Agora'!$B$22</f>
        <v>1080</v>
      </c>
      <c r="J81" s="15">
        <f>'Parameters | Agora'!$B$21</f>
        <v>20</v>
      </c>
      <c r="K81" s="45">
        <f t="shared" si="5"/>
        <v>7.7277777777777779</v>
      </c>
      <c r="L81" s="45">
        <f t="shared" si="3"/>
        <v>5.35</v>
      </c>
      <c r="M81" s="45">
        <f t="shared" si="4"/>
        <v>15.752777777777778</v>
      </c>
      <c r="N81" s="46">
        <f>E81*$H81/'Parameters | Agora'!$B$19*$J81</f>
        <v>46.366666666666667</v>
      </c>
      <c r="O81" s="46">
        <f>F81*$H81/'Parameters | Agora'!$B$19*$J81</f>
        <v>32.1</v>
      </c>
      <c r="P81" s="46">
        <f>G81*$H81/'Parameters | Agora'!$B$19*$J81</f>
        <v>94.516666666666666</v>
      </c>
    </row>
    <row r="82" spans="1:16">
      <c r="A82" s="43" t="s">
        <v>752</v>
      </c>
      <c r="B82" s="43" t="s">
        <v>753</v>
      </c>
      <c r="C82" s="43" t="s">
        <v>114</v>
      </c>
      <c r="D82" s="43" t="s">
        <v>121</v>
      </c>
      <c r="E82" s="44">
        <f>INDEX('Parameters | Agora'!$B$25:$D$33,MATCH($C82,'Parameters | Agora'!$A$25:$A$33,0),MATCH(E$1,'Parameters | Agora'!$B$24:$D$24,0))</f>
        <v>0.13600000000000001</v>
      </c>
      <c r="F82" s="44">
        <f>INDEX('Parameters | Agora'!$B$25:$D$33,MATCH($C82,'Parameters | Agora'!$A$25:$A$33,0),MATCH(F$1,'Parameters | Agora'!$B$24:$D$24,0))</f>
        <v>5.2999999999999999E-2</v>
      </c>
      <c r="G82" s="44">
        <f>INDEX('Parameters | Agora'!$B$25:$D$33,MATCH($C82,'Parameters | Agora'!$A$25:$A$33,0),MATCH(G$1,'Parameters | Agora'!$B$24:$D$24,0))</f>
        <v>0.14799999999999999</v>
      </c>
      <c r="H82" s="42">
        <v>47870.392999999989</v>
      </c>
      <c r="I82" s="8">
        <f>'Parameters | Agora'!$B$22</f>
        <v>1080</v>
      </c>
      <c r="J82" s="15">
        <f>'Parameters | Agora'!$B$21</f>
        <v>20</v>
      </c>
      <c r="K82" s="45">
        <f t="shared" si="5"/>
        <v>120.56247125925924</v>
      </c>
      <c r="L82" s="45">
        <f t="shared" si="3"/>
        <v>46.983904240740728</v>
      </c>
      <c r="M82" s="45">
        <f t="shared" si="4"/>
        <v>131.20033637037034</v>
      </c>
      <c r="N82" s="46">
        <f>E82*$H82/'Parameters | Agora'!$B$19*$J82</f>
        <v>723.37482755555561</v>
      </c>
      <c r="O82" s="46">
        <f>F82*$H82/'Parameters | Agora'!$B$19*$J82</f>
        <v>281.90342544444439</v>
      </c>
      <c r="P82" s="46">
        <f>G82*$H82/'Parameters | Agora'!$B$19*$J82</f>
        <v>787.20201822222202</v>
      </c>
    </row>
    <row r="83" spans="1:16">
      <c r="A83" s="43" t="s">
        <v>450</v>
      </c>
      <c r="B83" s="43" t="s">
        <v>451</v>
      </c>
      <c r="C83" s="43" t="s">
        <v>116</v>
      </c>
      <c r="D83" s="43" t="s">
        <v>121</v>
      </c>
      <c r="E83" s="44">
        <f>INDEX('Parameters | Agora'!$B$25:$D$33,MATCH($C83,'Parameters | Agora'!$A$25:$A$33,0),MATCH(E$1,'Parameters | Agora'!$B$24:$D$24,0))</f>
        <v>7.8E-2</v>
      </c>
      <c r="F83" s="44">
        <f>INDEX('Parameters | Agora'!$B$25:$D$33,MATCH($C83,'Parameters | Agora'!$A$25:$A$33,0),MATCH(F$1,'Parameters | Agora'!$B$24:$D$24,0))</f>
        <v>5.3999999999999999E-2</v>
      </c>
      <c r="G83" s="44">
        <f>INDEX('Parameters | Agora'!$B$25:$D$33,MATCH($C83,'Parameters | Agora'!$A$25:$A$33,0),MATCH(G$1,'Parameters | Agora'!$B$24:$D$24,0))</f>
        <v>0.159</v>
      </c>
      <c r="H83" s="42">
        <v>14920</v>
      </c>
      <c r="I83" s="8">
        <f>'Parameters | Agora'!$B$22</f>
        <v>1080</v>
      </c>
      <c r="J83" s="15">
        <f>'Parameters | Agora'!$B$21</f>
        <v>20</v>
      </c>
      <c r="K83" s="45">
        <f t="shared" si="5"/>
        <v>21.551111111111112</v>
      </c>
      <c r="L83" s="45">
        <f t="shared" si="3"/>
        <v>14.92</v>
      </c>
      <c r="M83" s="45">
        <f t="shared" si="4"/>
        <v>43.931111111111115</v>
      </c>
      <c r="N83" s="46">
        <f>E83*$H83/'Parameters | Agora'!$B$19*$J83</f>
        <v>129.30666666666667</v>
      </c>
      <c r="O83" s="46">
        <f>F83*$H83/'Parameters | Agora'!$B$19*$J83</f>
        <v>89.52</v>
      </c>
      <c r="P83" s="46">
        <f>G83*$H83/'Parameters | Agora'!$B$19*$J83</f>
        <v>263.5866666666667</v>
      </c>
    </row>
    <row r="84" spans="1:16">
      <c r="A84" s="43" t="s">
        <v>456</v>
      </c>
      <c r="B84" s="43" t="s">
        <v>457</v>
      </c>
      <c r="C84" s="43" t="s">
        <v>114</v>
      </c>
      <c r="D84" s="43" t="s">
        <v>121</v>
      </c>
      <c r="E84" s="44">
        <f>INDEX('Parameters | Agora'!$B$25:$D$33,MATCH($C84,'Parameters | Agora'!$A$25:$A$33,0),MATCH(E$1,'Parameters | Agora'!$B$24:$D$24,0))</f>
        <v>0.13600000000000001</v>
      </c>
      <c r="F84" s="44">
        <f>INDEX('Parameters | Agora'!$B$25:$D$33,MATCH($C84,'Parameters | Agora'!$A$25:$A$33,0),MATCH(F$1,'Parameters | Agora'!$B$24:$D$24,0))</f>
        <v>5.2999999999999999E-2</v>
      </c>
      <c r="G84" s="44">
        <f>INDEX('Parameters | Agora'!$B$25:$D$33,MATCH($C84,'Parameters | Agora'!$A$25:$A$33,0),MATCH(G$1,'Parameters | Agora'!$B$24:$D$24,0))</f>
        <v>0.14799999999999999</v>
      </c>
      <c r="H84" s="42">
        <v>54370</v>
      </c>
      <c r="I84" s="8">
        <f>'Parameters | Agora'!$B$22</f>
        <v>1080</v>
      </c>
      <c r="J84" s="15">
        <f>'Parameters | Agora'!$B$21</f>
        <v>20</v>
      </c>
      <c r="K84" s="45">
        <f t="shared" si="5"/>
        <v>136.93185185185186</v>
      </c>
      <c r="L84" s="45">
        <f t="shared" si="3"/>
        <v>53.363148148148156</v>
      </c>
      <c r="M84" s="45">
        <f t="shared" si="4"/>
        <v>149.01407407407407</v>
      </c>
      <c r="N84" s="46">
        <f>E84*$H84/'Parameters | Agora'!$B$19*$J84</f>
        <v>821.5911111111111</v>
      </c>
      <c r="O84" s="46">
        <f>F84*$H84/'Parameters | Agora'!$B$19*$J84</f>
        <v>320.17888888888888</v>
      </c>
      <c r="P84" s="46">
        <f>G84*$H84/'Parameters | Agora'!$B$19*$J84</f>
        <v>894.08444444444444</v>
      </c>
    </row>
    <row r="85" spans="1:16">
      <c r="A85" s="43" t="s">
        <v>454</v>
      </c>
      <c r="B85" s="43" t="s">
        <v>455</v>
      </c>
      <c r="C85" s="43" t="s">
        <v>116</v>
      </c>
      <c r="D85" s="43" t="s">
        <v>325</v>
      </c>
      <c r="E85" s="44">
        <f>INDEX('Parameters | Agora'!$B$25:$D$33,MATCH($C85,'Parameters | Agora'!$A$25:$A$33,0),MATCH(E$1,'Parameters | Agora'!$B$24:$D$24,0))</f>
        <v>7.8E-2</v>
      </c>
      <c r="F85" s="44">
        <f>INDEX('Parameters | Agora'!$B$25:$D$33,MATCH($C85,'Parameters | Agora'!$A$25:$A$33,0),MATCH(F$1,'Parameters | Agora'!$B$24:$D$24,0))</f>
        <v>5.3999999999999999E-2</v>
      </c>
      <c r="G85" s="44">
        <f>INDEX('Parameters | Agora'!$B$25:$D$33,MATCH($C85,'Parameters | Agora'!$A$25:$A$33,0),MATCH(G$1,'Parameters | Agora'!$B$24:$D$24,0))</f>
        <v>0.159</v>
      </c>
      <c r="H85" s="42">
        <v>2750</v>
      </c>
      <c r="I85" s="8">
        <f>'Parameters | Agora'!$B$22</f>
        <v>1080</v>
      </c>
      <c r="J85" s="15">
        <f>'Parameters | Agora'!$B$21</f>
        <v>20</v>
      </c>
      <c r="K85" s="45">
        <f t="shared" si="5"/>
        <v>3.9722222222222219</v>
      </c>
      <c r="L85" s="45">
        <f t="shared" si="3"/>
        <v>2.75</v>
      </c>
      <c r="M85" s="45">
        <f t="shared" si="4"/>
        <v>8.0972222222222214</v>
      </c>
      <c r="N85" s="46">
        <f>E85*$H85/'Parameters | Agora'!$B$19*$J85</f>
        <v>23.833333333333332</v>
      </c>
      <c r="O85" s="46">
        <f>F85*$H85/'Parameters | Agora'!$B$19*$J85</f>
        <v>16.5</v>
      </c>
      <c r="P85" s="46">
        <f>G85*$H85/'Parameters | Agora'!$B$19*$J85</f>
        <v>48.583333333333336</v>
      </c>
    </row>
    <row r="86" spans="1:16">
      <c r="A86" s="43" t="s">
        <v>74</v>
      </c>
      <c r="B86" s="43" t="s">
        <v>75</v>
      </c>
      <c r="C86" s="43" t="s">
        <v>115</v>
      </c>
      <c r="D86" s="43" t="s">
        <v>121</v>
      </c>
      <c r="E86" s="44">
        <f>INDEX('Parameters | Agora'!$B$25:$D$33,MATCH($C86,'Parameters | Agora'!$A$25:$A$33,0),MATCH(E$1,'Parameters | Agora'!$B$24:$D$24,0))</f>
        <v>0.13900000000000001</v>
      </c>
      <c r="F86" s="44">
        <f>INDEX('Parameters | Agora'!$B$25:$D$33,MATCH($C86,'Parameters | Agora'!$A$25:$A$33,0),MATCH(F$1,'Parameters | Agora'!$B$24:$D$24,0))</f>
        <v>4.7E-2</v>
      </c>
      <c r="G86" s="44">
        <f>INDEX('Parameters | Agora'!$B$25:$D$33,MATCH($C86,'Parameters | Agora'!$A$25:$A$33,0),MATCH(G$1,'Parameters | Agora'!$B$24:$D$24,0))</f>
        <v>0.10299999999999999</v>
      </c>
      <c r="H86" s="42">
        <v>19600</v>
      </c>
      <c r="I86" s="8">
        <f>'Parameters | Agora'!$B$22</f>
        <v>1080</v>
      </c>
      <c r="J86" s="15">
        <f>'Parameters | Agora'!$B$21</f>
        <v>20</v>
      </c>
      <c r="K86" s="45">
        <f t="shared" si="5"/>
        <v>50.451851851851856</v>
      </c>
      <c r="L86" s="45">
        <f t="shared" si="3"/>
        <v>17.05925925925926</v>
      </c>
      <c r="M86" s="45">
        <f t="shared" si="4"/>
        <v>37.385185185185186</v>
      </c>
      <c r="N86" s="46">
        <f>E86*$H86/'Parameters | Agora'!$B$19*$J86</f>
        <v>302.71111111111111</v>
      </c>
      <c r="O86" s="46">
        <f>F86*$H86/'Parameters | Agora'!$B$19*$J86</f>
        <v>102.35555555555557</v>
      </c>
      <c r="P86" s="46">
        <f>G86*$H86/'Parameters | Agora'!$B$19*$J86</f>
        <v>224.3111111111111</v>
      </c>
    </row>
    <row r="87" spans="1:16">
      <c r="A87" s="43" t="s">
        <v>452</v>
      </c>
      <c r="B87" s="43" t="s">
        <v>453</v>
      </c>
      <c r="C87" s="43" t="s">
        <v>116</v>
      </c>
      <c r="D87" s="43" t="s">
        <v>325</v>
      </c>
      <c r="E87" s="44">
        <f>INDEX('Parameters | Agora'!$B$25:$D$33,MATCH($C87,'Parameters | Agora'!$A$25:$A$33,0),MATCH(E$1,'Parameters | Agora'!$B$24:$D$24,0))</f>
        <v>7.8E-2</v>
      </c>
      <c r="F87" s="44">
        <f>INDEX('Parameters | Agora'!$B$25:$D$33,MATCH($C87,'Parameters | Agora'!$A$25:$A$33,0),MATCH(F$1,'Parameters | Agora'!$B$24:$D$24,0))</f>
        <v>5.3999999999999999E-2</v>
      </c>
      <c r="G87" s="44">
        <f>INDEX('Parameters | Agora'!$B$25:$D$33,MATCH($C87,'Parameters | Agora'!$A$25:$A$33,0),MATCH(G$1,'Parameters | Agora'!$B$24:$D$24,0))</f>
        <v>0.159</v>
      </c>
      <c r="H87" s="42">
        <v>1610</v>
      </c>
      <c r="I87" s="8">
        <f>'Parameters | Agora'!$B$22</f>
        <v>1080</v>
      </c>
      <c r="J87" s="15">
        <f>'Parameters | Agora'!$B$21</f>
        <v>20</v>
      </c>
      <c r="K87" s="45">
        <f t="shared" si="5"/>
        <v>2.3255555555555554</v>
      </c>
      <c r="L87" s="45">
        <f t="shared" si="3"/>
        <v>1.61</v>
      </c>
      <c r="M87" s="45">
        <f t="shared" si="4"/>
        <v>4.7405555555555559</v>
      </c>
      <c r="N87" s="46">
        <f>E87*$H87/'Parameters | Agora'!$B$19*$J87</f>
        <v>13.953333333333333</v>
      </c>
      <c r="O87" s="46">
        <f>F87*$H87/'Parameters | Agora'!$B$19*$J87</f>
        <v>9.66</v>
      </c>
      <c r="P87" s="46">
        <f>G87*$H87/'Parameters | Agora'!$B$19*$J87</f>
        <v>28.443333333333335</v>
      </c>
    </row>
    <row r="88" spans="1:16">
      <c r="A88" s="43" t="s">
        <v>458</v>
      </c>
      <c r="B88" s="43" t="s">
        <v>459</v>
      </c>
      <c r="C88" s="43" t="s">
        <v>115</v>
      </c>
      <c r="D88" s="43" t="s">
        <v>121</v>
      </c>
      <c r="E88" s="44">
        <f>INDEX('Parameters | Agora'!$B$25:$D$33,MATCH($C88,'Parameters | Agora'!$A$25:$A$33,0),MATCH(E$1,'Parameters | Agora'!$B$24:$D$24,0))</f>
        <v>0.13900000000000001</v>
      </c>
      <c r="F88" s="44">
        <f>INDEX('Parameters | Agora'!$B$25:$D$33,MATCH($C88,'Parameters | Agora'!$A$25:$A$33,0),MATCH(F$1,'Parameters | Agora'!$B$24:$D$24,0))</f>
        <v>4.7E-2</v>
      </c>
      <c r="G88" s="44">
        <f>INDEX('Parameters | Agora'!$B$25:$D$33,MATCH($C88,'Parameters | Agora'!$A$25:$A$33,0),MATCH(G$1,'Parameters | Agora'!$B$24:$D$24,0))</f>
        <v>0.10299999999999999</v>
      </c>
      <c r="H88" s="42">
        <v>19010</v>
      </c>
      <c r="I88" s="8">
        <f>'Parameters | Agora'!$B$22</f>
        <v>1080</v>
      </c>
      <c r="J88" s="15">
        <f>'Parameters | Agora'!$B$21</f>
        <v>20</v>
      </c>
      <c r="K88" s="45">
        <f t="shared" si="5"/>
        <v>48.933148148148156</v>
      </c>
      <c r="L88" s="45">
        <f t="shared" si="3"/>
        <v>16.54574074074074</v>
      </c>
      <c r="M88" s="45">
        <f t="shared" si="4"/>
        <v>36.25981481481481</v>
      </c>
      <c r="N88" s="46">
        <f>E88*$H88/'Parameters | Agora'!$B$19*$J88</f>
        <v>293.59888888888895</v>
      </c>
      <c r="O88" s="46">
        <f>F88*$H88/'Parameters | Agora'!$B$19*$J88</f>
        <v>99.274444444444455</v>
      </c>
      <c r="P88" s="46">
        <f>G88*$H88/'Parameters | Agora'!$B$19*$J88</f>
        <v>217.5588888888889</v>
      </c>
    </row>
    <row r="89" spans="1:16">
      <c r="A89" s="43" t="s">
        <v>464</v>
      </c>
      <c r="B89" s="43" t="s">
        <v>465</v>
      </c>
      <c r="C89" s="43" t="s">
        <v>114</v>
      </c>
      <c r="D89" s="43" t="s">
        <v>322</v>
      </c>
      <c r="E89" s="44">
        <f>INDEX('Parameters | Agora'!$B$25:$D$33,MATCH($C89,'Parameters | Agora'!$A$25:$A$33,0),MATCH(E$1,'Parameters | Agora'!$B$24:$D$24,0))</f>
        <v>0.13600000000000001</v>
      </c>
      <c r="F89" s="44">
        <f>INDEX('Parameters | Agora'!$B$25:$D$33,MATCH($C89,'Parameters | Agora'!$A$25:$A$33,0),MATCH(F$1,'Parameters | Agora'!$B$24:$D$24,0))</f>
        <v>5.2999999999999999E-2</v>
      </c>
      <c r="G89" s="44">
        <f>INDEX('Parameters | Agora'!$B$25:$D$33,MATCH($C89,'Parameters | Agora'!$A$25:$A$33,0),MATCH(G$1,'Parameters | Agora'!$B$24:$D$24,0))</f>
        <v>0.14799999999999999</v>
      </c>
      <c r="H89" s="42">
        <v>4580</v>
      </c>
      <c r="I89" s="8">
        <f>'Parameters | Agora'!$B$22</f>
        <v>1080</v>
      </c>
      <c r="J89" s="15">
        <f>'Parameters | Agora'!$B$21</f>
        <v>20</v>
      </c>
      <c r="K89" s="45">
        <f t="shared" si="5"/>
        <v>11.534814814814816</v>
      </c>
      <c r="L89" s="45">
        <f t="shared" si="3"/>
        <v>4.4951851851851847</v>
      </c>
      <c r="M89" s="45">
        <f t="shared" si="4"/>
        <v>12.552592592592591</v>
      </c>
      <c r="N89" s="46">
        <f>E89*$H89/'Parameters | Agora'!$B$19*$J89</f>
        <v>69.208888888888879</v>
      </c>
      <c r="O89" s="46">
        <f>F89*$H89/'Parameters | Agora'!$B$19*$J89</f>
        <v>26.97111111111111</v>
      </c>
      <c r="P89" s="46">
        <f>G89*$H89/'Parameters | Agora'!$B$19*$J89</f>
        <v>75.315555555555548</v>
      </c>
    </row>
    <row r="90" spans="1:16">
      <c r="A90" s="43" t="s">
        <v>754</v>
      </c>
      <c r="B90" s="43" t="s">
        <v>755</v>
      </c>
      <c r="C90" s="43" t="s">
        <v>115</v>
      </c>
      <c r="D90" s="43" t="s">
        <v>121</v>
      </c>
      <c r="E90" s="44">
        <f>INDEX('Parameters | Agora'!$B$25:$D$33,MATCH($C90,'Parameters | Agora'!$A$25:$A$33,0),MATCH(E$1,'Parameters | Agora'!$B$24:$D$24,0))</f>
        <v>0.13900000000000001</v>
      </c>
      <c r="F90" s="44">
        <f>INDEX('Parameters | Agora'!$B$25:$D$33,MATCH($C90,'Parameters | Agora'!$A$25:$A$33,0),MATCH(F$1,'Parameters | Agora'!$B$24:$D$24,0))</f>
        <v>4.7E-2</v>
      </c>
      <c r="G90" s="44">
        <f>INDEX('Parameters | Agora'!$B$25:$D$33,MATCH($C90,'Parameters | Agora'!$A$25:$A$33,0),MATCH(G$1,'Parameters | Agora'!$B$24:$D$24,0))</f>
        <v>0.10299999999999999</v>
      </c>
      <c r="H90" s="42">
        <v>79300</v>
      </c>
      <c r="I90" s="8">
        <f>'Parameters | Agora'!$B$22</f>
        <v>1080</v>
      </c>
      <c r="J90" s="15">
        <f>'Parameters | Agora'!$B$21</f>
        <v>20</v>
      </c>
      <c r="K90" s="45">
        <f t="shared" si="5"/>
        <v>204.12407407407409</v>
      </c>
      <c r="L90" s="45">
        <f t="shared" si="3"/>
        <v>69.020370370370358</v>
      </c>
      <c r="M90" s="45">
        <f t="shared" si="4"/>
        <v>151.25740740740741</v>
      </c>
      <c r="N90" s="46">
        <f>E90*$H90/'Parameters | Agora'!$B$19*$J90</f>
        <v>1224.7444444444445</v>
      </c>
      <c r="O90" s="46">
        <f>F90*$H90/'Parameters | Agora'!$B$19*$J90</f>
        <v>414.12222222222221</v>
      </c>
      <c r="P90" s="46">
        <f>G90*$H90/'Parameters | Agora'!$B$19*$J90</f>
        <v>907.54444444444448</v>
      </c>
    </row>
    <row r="91" spans="1:16">
      <c r="A91" s="43" t="s">
        <v>462</v>
      </c>
      <c r="B91" s="43" t="s">
        <v>463</v>
      </c>
      <c r="C91" s="43" t="s">
        <v>118</v>
      </c>
      <c r="D91" s="43" t="s">
        <v>325</v>
      </c>
      <c r="E91" s="44">
        <f>INDEX('Parameters | Agora'!$B$25:$D$33,MATCH($C91,'Parameters | Agora'!$A$25:$A$33,0),MATCH(E$1,'Parameters | Agora'!$B$24:$D$24,0))</f>
        <v>0.06</v>
      </c>
      <c r="F91" s="44">
        <f>INDEX('Parameters | Agora'!$B$25:$D$33,MATCH($C91,'Parameters | Agora'!$A$25:$A$33,0),MATCH(F$1,'Parameters | Agora'!$B$24:$D$24,0))</f>
        <v>0.05</v>
      </c>
      <c r="G91" s="44">
        <f>INDEX('Parameters | Agora'!$B$25:$D$33,MATCH($C91,'Parameters | Agora'!$A$25:$A$33,0),MATCH(G$1,'Parameters | Agora'!$B$24:$D$24,0))</f>
        <v>0.17299999999999999</v>
      </c>
      <c r="H91" s="42">
        <v>2390</v>
      </c>
      <c r="I91" s="8">
        <f>'Parameters | Agora'!$B$22</f>
        <v>1080</v>
      </c>
      <c r="J91" s="15">
        <f>'Parameters | Agora'!$B$21</f>
        <v>20</v>
      </c>
      <c r="K91" s="45">
        <f t="shared" si="5"/>
        <v>2.6555555555555554</v>
      </c>
      <c r="L91" s="45">
        <f t="shared" si="3"/>
        <v>2.2129629629629628</v>
      </c>
      <c r="M91" s="45">
        <f t="shared" si="4"/>
        <v>7.6568518518518509</v>
      </c>
      <c r="N91" s="46">
        <f>E91*$H91/'Parameters | Agora'!$B$19*$J91</f>
        <v>15.933333333333335</v>
      </c>
      <c r="O91" s="46">
        <f>F91*$H91/'Parameters | Agora'!$B$19*$J91</f>
        <v>13.277777777777777</v>
      </c>
      <c r="P91" s="46">
        <f>G91*$H91/'Parameters | Agora'!$B$19*$J91</f>
        <v>45.941111111111105</v>
      </c>
    </row>
    <row r="92" spans="1:16">
      <c r="A92" s="43" t="s">
        <v>470</v>
      </c>
      <c r="B92" s="43" t="s">
        <v>471</v>
      </c>
      <c r="C92" s="43" t="s">
        <v>115</v>
      </c>
      <c r="D92" s="43" t="s">
        <v>121</v>
      </c>
      <c r="E92" s="44">
        <f>INDEX('Parameters | Agora'!$B$25:$D$33,MATCH($C92,'Parameters | Agora'!$A$25:$A$33,0),MATCH(E$1,'Parameters | Agora'!$B$24:$D$24,0))</f>
        <v>0.13900000000000001</v>
      </c>
      <c r="F92" s="44">
        <f>INDEX('Parameters | Agora'!$B$25:$D$33,MATCH($C92,'Parameters | Agora'!$A$25:$A$33,0),MATCH(F$1,'Parameters | Agora'!$B$24:$D$24,0))</f>
        <v>4.7E-2</v>
      </c>
      <c r="G92" s="44">
        <f>INDEX('Parameters | Agora'!$B$25:$D$33,MATCH($C92,'Parameters | Agora'!$A$25:$A$33,0),MATCH(G$1,'Parameters | Agora'!$B$24:$D$24,0))</f>
        <v>0.10299999999999999</v>
      </c>
      <c r="H92" s="42">
        <v>79730</v>
      </c>
      <c r="I92" s="8">
        <f>'Parameters | Agora'!$B$22</f>
        <v>1080</v>
      </c>
      <c r="J92" s="15">
        <f>'Parameters | Agora'!$B$21</f>
        <v>20</v>
      </c>
      <c r="K92" s="45">
        <f t="shared" si="5"/>
        <v>205.23092592592593</v>
      </c>
      <c r="L92" s="45">
        <f t="shared" si="3"/>
        <v>69.39462962962962</v>
      </c>
      <c r="M92" s="45">
        <f t="shared" si="4"/>
        <v>152.07759259259257</v>
      </c>
      <c r="N92" s="46">
        <f>E92*$H92/'Parameters | Agora'!$B$19*$J92</f>
        <v>1231.3855555555556</v>
      </c>
      <c r="O92" s="46">
        <f>F92*$H92/'Parameters | Agora'!$B$19*$J92</f>
        <v>416.3677777777778</v>
      </c>
      <c r="P92" s="46">
        <f>G92*$H92/'Parameters | Agora'!$B$19*$J92</f>
        <v>912.46555555555551</v>
      </c>
    </row>
    <row r="93" spans="1:16">
      <c r="A93" s="43" t="s">
        <v>466</v>
      </c>
      <c r="B93" s="43" t="s">
        <v>467</v>
      </c>
      <c r="C93" s="43" t="s">
        <v>117</v>
      </c>
      <c r="D93" s="43" t="s">
        <v>325</v>
      </c>
      <c r="E93" s="44">
        <f>INDEX('Parameters | Agora'!$B$25:$D$33,MATCH($C93,'Parameters | Agora'!$A$25:$A$33,0),MATCH(E$1,'Parameters | Agora'!$B$24:$D$24,0))</f>
        <v>0.16</v>
      </c>
      <c r="F93" s="44">
        <f>INDEX('Parameters | Agora'!$B$25:$D$33,MATCH($C93,'Parameters | Agora'!$A$25:$A$33,0),MATCH(F$1,'Parameters | Agora'!$B$24:$D$24,0))</f>
        <v>4.4999999999999998E-2</v>
      </c>
      <c r="G93" s="44">
        <f>INDEX('Parameters | Agora'!$B$25:$D$33,MATCH($C93,'Parameters | Agora'!$A$25:$A$33,0),MATCH(G$1,'Parameters | Agora'!$B$24:$D$24,0))</f>
        <v>0.105</v>
      </c>
      <c r="H93" s="42">
        <v>3980</v>
      </c>
      <c r="I93" s="8">
        <f>'Parameters | Agora'!$B$22</f>
        <v>1080</v>
      </c>
      <c r="J93" s="15">
        <f>'Parameters | Agora'!$B$21</f>
        <v>20</v>
      </c>
      <c r="K93" s="45">
        <f t="shared" si="5"/>
        <v>11.792592592592595</v>
      </c>
      <c r="L93" s="45">
        <f t="shared" si="3"/>
        <v>3.3166666666666664</v>
      </c>
      <c r="M93" s="45">
        <f t="shared" si="4"/>
        <v>7.7388888888888889</v>
      </c>
      <c r="N93" s="46">
        <f>E93*$H93/'Parameters | Agora'!$B$19*$J93</f>
        <v>70.75555555555556</v>
      </c>
      <c r="O93" s="46">
        <f>F93*$H93/'Parameters | Agora'!$B$19*$J93</f>
        <v>19.899999999999999</v>
      </c>
      <c r="P93" s="46">
        <f>G93*$H93/'Parameters | Agora'!$B$19*$J93</f>
        <v>46.433333333333323</v>
      </c>
    </row>
    <row r="94" spans="1:16">
      <c r="A94" s="43" t="s">
        <v>468</v>
      </c>
      <c r="B94" s="43" t="s">
        <v>469</v>
      </c>
      <c r="C94" s="43" t="s">
        <v>117</v>
      </c>
      <c r="D94" s="43" t="s">
        <v>322</v>
      </c>
      <c r="E94" s="44">
        <f>INDEX('Parameters | Agora'!$B$25:$D$33,MATCH($C94,'Parameters | Agora'!$A$25:$A$33,0),MATCH(E$1,'Parameters | Agora'!$B$24:$D$24,0))</f>
        <v>0.16</v>
      </c>
      <c r="F94" s="44">
        <f>INDEX('Parameters | Agora'!$B$25:$D$33,MATCH($C94,'Parameters | Agora'!$A$25:$A$33,0),MATCH(F$1,'Parameters | Agora'!$B$24:$D$24,0))</f>
        <v>4.4999999999999998E-2</v>
      </c>
      <c r="G94" s="44">
        <f>INDEX('Parameters | Agora'!$B$25:$D$33,MATCH($C94,'Parameters | Agora'!$A$25:$A$33,0),MATCH(G$1,'Parameters | Agora'!$B$24:$D$24,0))</f>
        <v>0.105</v>
      </c>
      <c r="H94" s="42">
        <v>5270</v>
      </c>
      <c r="I94" s="8">
        <f>'Parameters | Agora'!$B$22</f>
        <v>1080</v>
      </c>
      <c r="J94" s="15">
        <f>'Parameters | Agora'!$B$21</f>
        <v>20</v>
      </c>
      <c r="K94" s="45">
        <f t="shared" si="5"/>
        <v>15.614814814814814</v>
      </c>
      <c r="L94" s="45">
        <f t="shared" si="3"/>
        <v>4.3916666666666666</v>
      </c>
      <c r="M94" s="45">
        <f t="shared" si="4"/>
        <v>10.247222222222224</v>
      </c>
      <c r="N94" s="46">
        <f>E94*$H94/'Parameters | Agora'!$B$19*$J94</f>
        <v>93.688888888888897</v>
      </c>
      <c r="O94" s="46">
        <f>F94*$H94/'Parameters | Agora'!$B$19*$J94</f>
        <v>26.349999999999998</v>
      </c>
      <c r="P94" s="46">
        <f>G94*$H94/'Parameters | Agora'!$B$19*$J94</f>
        <v>61.483333333333334</v>
      </c>
    </row>
    <row r="95" spans="1:16">
      <c r="A95" s="43" t="s">
        <v>460</v>
      </c>
      <c r="B95" s="43" t="s">
        <v>461</v>
      </c>
      <c r="C95" s="43" t="s">
        <v>115</v>
      </c>
      <c r="D95" s="43" t="s">
        <v>121</v>
      </c>
      <c r="E95" s="44">
        <f>INDEX('Parameters | Agora'!$B$25:$D$33,MATCH($C95,'Parameters | Agora'!$A$25:$A$33,0),MATCH(E$1,'Parameters | Agora'!$B$24:$D$24,0))</f>
        <v>0.13900000000000001</v>
      </c>
      <c r="F95" s="44">
        <f>INDEX('Parameters | Agora'!$B$25:$D$33,MATCH($C95,'Parameters | Agora'!$A$25:$A$33,0),MATCH(F$1,'Parameters | Agora'!$B$24:$D$24,0))</f>
        <v>4.7E-2</v>
      </c>
      <c r="G95" s="44">
        <f>INDEX('Parameters | Agora'!$B$25:$D$33,MATCH($C95,'Parameters | Agora'!$A$25:$A$33,0),MATCH(G$1,'Parameters | Agora'!$B$24:$D$24,0))</f>
        <v>0.10299999999999999</v>
      </c>
      <c r="H95" s="42">
        <v>68660</v>
      </c>
      <c r="I95" s="8">
        <f>'Parameters | Agora'!$B$22</f>
        <v>1080</v>
      </c>
      <c r="J95" s="15">
        <f>'Parameters | Agora'!$B$21</f>
        <v>20</v>
      </c>
      <c r="K95" s="45">
        <f t="shared" si="5"/>
        <v>176.73592592592595</v>
      </c>
      <c r="L95" s="45">
        <f t="shared" si="3"/>
        <v>59.759629629629629</v>
      </c>
      <c r="M95" s="45">
        <f t="shared" si="4"/>
        <v>130.96259259259259</v>
      </c>
      <c r="N95" s="46">
        <f>E95*$H95/'Parameters | Agora'!$B$19*$J95</f>
        <v>1060.4155555555558</v>
      </c>
      <c r="O95" s="46">
        <f>F95*$H95/'Parameters | Agora'!$B$19*$J95</f>
        <v>358.55777777777774</v>
      </c>
      <c r="P95" s="46">
        <f>G95*$H95/'Parameters | Agora'!$B$19*$J95</f>
        <v>785.77555555555546</v>
      </c>
    </row>
    <row r="96" spans="1:16">
      <c r="A96" s="43" t="s">
        <v>472</v>
      </c>
      <c r="B96" s="43" t="s">
        <v>473</v>
      </c>
      <c r="C96" s="43" t="s">
        <v>117</v>
      </c>
      <c r="D96" s="43" t="s">
        <v>121</v>
      </c>
      <c r="E96" s="44">
        <f>INDEX('Parameters | Agora'!$B$25:$D$33,MATCH($C96,'Parameters | Agora'!$A$25:$A$33,0),MATCH(E$1,'Parameters | Agora'!$B$24:$D$24,0))</f>
        <v>0.16</v>
      </c>
      <c r="F96" s="44">
        <f>INDEX('Parameters | Agora'!$B$25:$D$33,MATCH($C96,'Parameters | Agora'!$A$25:$A$33,0),MATCH(F$1,'Parameters | Agora'!$B$24:$D$24,0))</f>
        <v>4.4999999999999998E-2</v>
      </c>
      <c r="G96" s="44">
        <f>INDEX('Parameters | Agora'!$B$25:$D$33,MATCH($C96,'Parameters | Agora'!$A$25:$A$33,0),MATCH(G$1,'Parameters | Agora'!$B$24:$D$24,0))</f>
        <v>0.105</v>
      </c>
      <c r="H96" s="42">
        <v>55140</v>
      </c>
      <c r="I96" s="8">
        <f>'Parameters | Agora'!$B$22</f>
        <v>1080</v>
      </c>
      <c r="J96" s="15">
        <f>'Parameters | Agora'!$B$21</f>
        <v>20</v>
      </c>
      <c r="K96" s="45">
        <f t="shared" si="5"/>
        <v>163.37777777777777</v>
      </c>
      <c r="L96" s="45">
        <f t="shared" si="3"/>
        <v>45.949999999999996</v>
      </c>
      <c r="M96" s="45">
        <f t="shared" si="4"/>
        <v>107.21666666666665</v>
      </c>
      <c r="N96" s="46">
        <f>E96*$H96/'Parameters | Agora'!$B$19*$J96</f>
        <v>980.26666666666654</v>
      </c>
      <c r="O96" s="46">
        <f>F96*$H96/'Parameters | Agora'!$B$19*$J96</f>
        <v>275.7</v>
      </c>
      <c r="P96" s="46">
        <f>G96*$H96/'Parameters | Agora'!$B$19*$J96</f>
        <v>643.29999999999995</v>
      </c>
    </row>
    <row r="97" spans="1:16">
      <c r="A97" s="43" t="s">
        <v>474</v>
      </c>
      <c r="B97" s="43" t="s">
        <v>475</v>
      </c>
      <c r="C97" s="43" t="s">
        <v>115</v>
      </c>
      <c r="D97" s="43" t="s">
        <v>121</v>
      </c>
      <c r="E97" s="44">
        <f>INDEX('Parameters | Agora'!$B$25:$D$33,MATCH($C97,'Parameters | Agora'!$A$25:$A$33,0),MATCH(E$1,'Parameters | Agora'!$B$24:$D$24,0))</f>
        <v>0.13900000000000001</v>
      </c>
      <c r="F97" s="44">
        <f>INDEX('Parameters | Agora'!$B$25:$D$33,MATCH($C97,'Parameters | Agora'!$A$25:$A$33,0),MATCH(F$1,'Parameters | Agora'!$B$24:$D$24,0))</f>
        <v>4.7E-2</v>
      </c>
      <c r="G97" s="44">
        <f>INDEX('Parameters | Agora'!$B$25:$D$33,MATCH($C97,'Parameters | Agora'!$A$25:$A$33,0),MATCH(G$1,'Parameters | Agora'!$B$24:$D$24,0))</f>
        <v>0.10299999999999999</v>
      </c>
      <c r="H97" s="42">
        <v>38200</v>
      </c>
      <c r="I97" s="8">
        <f>'Parameters | Agora'!$B$22</f>
        <v>1080</v>
      </c>
      <c r="J97" s="15">
        <f>'Parameters | Agora'!$B$21</f>
        <v>20</v>
      </c>
      <c r="K97" s="45">
        <f t="shared" si="5"/>
        <v>98.329629629629636</v>
      </c>
      <c r="L97" s="45">
        <f t="shared" si="3"/>
        <v>33.248148148148154</v>
      </c>
      <c r="M97" s="45">
        <f t="shared" si="4"/>
        <v>72.862962962962968</v>
      </c>
      <c r="N97" s="46">
        <f>E97*$H97/'Parameters | Agora'!$B$19*$J97</f>
        <v>589.97777777777776</v>
      </c>
      <c r="O97" s="46">
        <f>F97*$H97/'Parameters | Agora'!$B$19*$J97</f>
        <v>199.48888888888891</v>
      </c>
      <c r="P97" s="46">
        <f>G97*$H97/'Parameters | Agora'!$B$19*$J97</f>
        <v>437.17777777777775</v>
      </c>
    </row>
    <row r="98" spans="1:16">
      <c r="A98" s="43" t="s">
        <v>476</v>
      </c>
      <c r="B98" s="43" t="s">
        <v>477</v>
      </c>
      <c r="C98" s="43" t="s">
        <v>116</v>
      </c>
      <c r="D98" s="43" t="s">
        <v>322</v>
      </c>
      <c r="E98" s="44">
        <f>INDEX('Parameters | Agora'!$B$25:$D$33,MATCH($C98,'Parameters | Agora'!$A$25:$A$33,0),MATCH(E$1,'Parameters | Agora'!$B$24:$D$24,0))</f>
        <v>7.8E-2</v>
      </c>
      <c r="F98" s="44">
        <f>INDEX('Parameters | Agora'!$B$25:$D$33,MATCH($C98,'Parameters | Agora'!$A$25:$A$33,0),MATCH(F$1,'Parameters | Agora'!$B$24:$D$24,0))</f>
        <v>5.3999999999999999E-2</v>
      </c>
      <c r="G98" s="44">
        <f>INDEX('Parameters | Agora'!$B$25:$D$33,MATCH($C98,'Parameters | Agora'!$A$25:$A$33,0),MATCH(G$1,'Parameters | Agora'!$B$24:$D$24,0))</f>
        <v>0.159</v>
      </c>
      <c r="H98" s="42">
        <v>5760</v>
      </c>
      <c r="I98" s="8">
        <f>'Parameters | Agora'!$B$22</f>
        <v>1080</v>
      </c>
      <c r="J98" s="15">
        <f>'Parameters | Agora'!$B$21</f>
        <v>20</v>
      </c>
      <c r="K98" s="45">
        <f t="shared" si="5"/>
        <v>8.32</v>
      </c>
      <c r="L98" s="45">
        <f t="shared" si="3"/>
        <v>5.7600000000000007</v>
      </c>
      <c r="M98" s="45">
        <f t="shared" si="4"/>
        <v>16.96</v>
      </c>
      <c r="N98" s="46">
        <f>E98*$H98/'Parameters | Agora'!$B$19*$J98</f>
        <v>49.92</v>
      </c>
      <c r="O98" s="46">
        <f>F98*$H98/'Parameters | Agora'!$B$19*$J98</f>
        <v>34.56</v>
      </c>
      <c r="P98" s="46">
        <f>G98*$H98/'Parameters | Agora'!$B$19*$J98</f>
        <v>101.76</v>
      </c>
    </row>
    <row r="99" spans="1:16">
      <c r="A99" s="43" t="s">
        <v>480</v>
      </c>
      <c r="B99" s="43" t="s">
        <v>481</v>
      </c>
      <c r="C99" s="43" t="s">
        <v>117</v>
      </c>
      <c r="D99" s="43" t="s">
        <v>325</v>
      </c>
      <c r="E99" s="44">
        <f>INDEX('Parameters | Agora'!$B$25:$D$33,MATCH($C99,'Parameters | Agora'!$A$25:$A$33,0),MATCH(E$1,'Parameters | Agora'!$B$24:$D$24,0))</f>
        <v>0.16</v>
      </c>
      <c r="F99" s="44">
        <f>INDEX('Parameters | Agora'!$B$25:$D$33,MATCH($C99,'Parameters | Agora'!$A$25:$A$33,0),MATCH(F$1,'Parameters | Agora'!$B$24:$D$24,0))</f>
        <v>4.4999999999999998E-2</v>
      </c>
      <c r="G99" s="44">
        <f>INDEX('Parameters | Agora'!$B$25:$D$33,MATCH($C99,'Parameters | Agora'!$A$25:$A$33,0),MATCH(G$1,'Parameters | Agora'!$B$24:$D$24,0))</f>
        <v>0.105</v>
      </c>
      <c r="H99" s="42">
        <v>4350</v>
      </c>
      <c r="I99" s="8">
        <f>'Parameters | Agora'!$B$22</f>
        <v>1080</v>
      </c>
      <c r="J99" s="15">
        <f>'Parameters | Agora'!$B$21</f>
        <v>20</v>
      </c>
      <c r="K99" s="45">
        <f t="shared" si="5"/>
        <v>12.888888888888889</v>
      </c>
      <c r="L99" s="45">
        <f t="shared" si="3"/>
        <v>3.625</v>
      </c>
      <c r="M99" s="45">
        <f t="shared" si="4"/>
        <v>8.4583333333333339</v>
      </c>
      <c r="N99" s="46">
        <f>E99*$H99/'Parameters | Agora'!$B$19*$J99</f>
        <v>77.333333333333329</v>
      </c>
      <c r="O99" s="46">
        <f>F99*$H99/'Parameters | Agora'!$B$19*$J99</f>
        <v>21.75</v>
      </c>
      <c r="P99" s="46">
        <f>G99*$H99/'Parameters | Agora'!$B$19*$J99</f>
        <v>50.75</v>
      </c>
    </row>
    <row r="100" spans="1:16">
      <c r="A100" s="43" t="s">
        <v>478</v>
      </c>
      <c r="B100" s="43" t="s">
        <v>479</v>
      </c>
      <c r="C100" s="43" t="s">
        <v>114</v>
      </c>
      <c r="D100" s="43" t="s">
        <v>121</v>
      </c>
      <c r="E100" s="44">
        <f>INDEX('Parameters | Agora'!$B$25:$D$33,MATCH($C100,'Parameters | Agora'!$A$25:$A$33,0),MATCH(E$1,'Parameters | Agora'!$B$24:$D$24,0))</f>
        <v>0.13600000000000001</v>
      </c>
      <c r="F100" s="44">
        <f>INDEX('Parameters | Agora'!$B$25:$D$33,MATCH($C100,'Parameters | Agora'!$A$25:$A$33,0),MATCH(F$1,'Parameters | Agora'!$B$24:$D$24,0))</f>
        <v>5.2999999999999999E-2</v>
      </c>
      <c r="G100" s="44">
        <f>INDEX('Parameters | Agora'!$B$25:$D$33,MATCH($C100,'Parameters | Agora'!$A$25:$A$33,0),MATCH(G$1,'Parameters | Agora'!$B$24:$D$24,0))</f>
        <v>0.14799999999999999</v>
      </c>
      <c r="H100" s="42">
        <v>42440</v>
      </c>
      <c r="I100" s="8">
        <f>'Parameters | Agora'!$B$22</f>
        <v>1080</v>
      </c>
      <c r="J100" s="15">
        <f>'Parameters | Agora'!$B$21</f>
        <v>20</v>
      </c>
      <c r="K100" s="45">
        <f t="shared" si="5"/>
        <v>106.88592592592593</v>
      </c>
      <c r="L100" s="45">
        <f t="shared" si="3"/>
        <v>41.654074074074067</v>
      </c>
      <c r="M100" s="45">
        <f t="shared" si="4"/>
        <v>116.31703703703704</v>
      </c>
      <c r="N100" s="46">
        <f>E100*$H100/'Parameters | Agora'!$B$19*$J100</f>
        <v>641.31555555555553</v>
      </c>
      <c r="O100" s="46">
        <f>F100*$H100/'Parameters | Agora'!$B$19*$J100</f>
        <v>249.92444444444442</v>
      </c>
      <c r="P100" s="46">
        <f>G100*$H100/'Parameters | Agora'!$B$19*$J100</f>
        <v>697.90222222222224</v>
      </c>
    </row>
    <row r="101" spans="1:16">
      <c r="A101" s="43" t="s">
        <v>482</v>
      </c>
      <c r="B101" s="43" t="s">
        <v>483</v>
      </c>
      <c r="C101" s="43" t="s">
        <v>115</v>
      </c>
      <c r="D101" s="43" t="s">
        <v>322</v>
      </c>
      <c r="E101" s="44">
        <f>INDEX('Parameters | Agora'!$B$25:$D$33,MATCH($C101,'Parameters | Agora'!$A$25:$A$33,0),MATCH(E$1,'Parameters | Agora'!$B$24:$D$24,0))</f>
        <v>0.13900000000000001</v>
      </c>
      <c r="F101" s="44">
        <f>INDEX('Parameters | Agora'!$B$25:$D$33,MATCH($C101,'Parameters | Agora'!$A$25:$A$33,0),MATCH(F$1,'Parameters | Agora'!$B$24:$D$24,0))</f>
        <v>4.7E-2</v>
      </c>
      <c r="G101" s="44">
        <f>INDEX('Parameters | Agora'!$B$25:$D$33,MATCH($C101,'Parameters | Agora'!$A$25:$A$33,0),MATCH(G$1,'Parameters | Agora'!$B$24:$D$24,0))</f>
        <v>0.10299999999999999</v>
      </c>
      <c r="H101" s="42">
        <v>9620</v>
      </c>
      <c r="I101" s="8">
        <f>'Parameters | Agora'!$B$22</f>
        <v>1080</v>
      </c>
      <c r="J101" s="15">
        <f>'Parameters | Agora'!$B$21</f>
        <v>20</v>
      </c>
      <c r="K101" s="45">
        <f t="shared" si="5"/>
        <v>24.76259259259259</v>
      </c>
      <c r="L101" s="45">
        <f t="shared" si="3"/>
        <v>8.3729629629629638</v>
      </c>
      <c r="M101" s="45">
        <f t="shared" si="4"/>
        <v>18.349259259259259</v>
      </c>
      <c r="N101" s="46">
        <f>E101*$H101/'Parameters | Agora'!$B$19*$J101</f>
        <v>148.57555555555558</v>
      </c>
      <c r="O101" s="46">
        <f>F101*$H101/'Parameters | Agora'!$B$19*$J101</f>
        <v>50.237777777777772</v>
      </c>
      <c r="P101" s="46">
        <f>G101*$H101/'Parameters | Agora'!$B$19*$J101</f>
        <v>110.09555555555553</v>
      </c>
    </row>
    <row r="102" spans="1:16">
      <c r="A102" s="43" t="s">
        <v>484</v>
      </c>
      <c r="B102" s="43" t="s">
        <v>485</v>
      </c>
      <c r="C102" s="43" t="s">
        <v>119</v>
      </c>
      <c r="D102" s="43" t="s">
        <v>325</v>
      </c>
      <c r="E102" s="44">
        <f>INDEX('Parameters | Agora'!$B$25:$D$33,MATCH($C102,'Parameters | Agora'!$A$25:$A$33,0),MATCH(E$1,'Parameters | Agora'!$B$24:$D$24,0))</f>
        <v>0.14399999999999999</v>
      </c>
      <c r="F102" s="44">
        <f>INDEX('Parameters | Agora'!$B$25:$D$33,MATCH($C102,'Parameters | Agora'!$A$25:$A$33,0),MATCH(F$1,'Parameters | Agora'!$B$24:$D$24,0))</f>
        <v>0.106</v>
      </c>
      <c r="G102" s="44">
        <f>INDEX('Parameters | Agora'!$B$25:$D$33,MATCH($C102,'Parameters | Agora'!$A$25:$A$33,0),MATCH(G$1,'Parameters | Agora'!$B$24:$D$24,0))</f>
        <v>0.21</v>
      </c>
      <c r="H102" s="42">
        <v>2170</v>
      </c>
      <c r="I102" s="8">
        <f>'Parameters | Agora'!$B$22</f>
        <v>1080</v>
      </c>
      <c r="J102" s="15">
        <f>'Parameters | Agora'!$B$21</f>
        <v>20</v>
      </c>
      <c r="K102" s="45">
        <f t="shared" si="5"/>
        <v>5.7866666666666653</v>
      </c>
      <c r="L102" s="45">
        <f t="shared" si="3"/>
        <v>4.2596296296296297</v>
      </c>
      <c r="M102" s="45">
        <f t="shared" si="4"/>
        <v>8.43888888888889</v>
      </c>
      <c r="N102" s="46">
        <f>E102*$H102/'Parameters | Agora'!$B$19*$J102</f>
        <v>34.72</v>
      </c>
      <c r="O102" s="46">
        <f>F102*$H102/'Parameters | Agora'!$B$19*$J102</f>
        <v>25.557777777777776</v>
      </c>
      <c r="P102" s="46">
        <f>G102*$H102/'Parameters | Agora'!$B$19*$J102</f>
        <v>50.633333333333333</v>
      </c>
    </row>
    <row r="103" spans="1:16">
      <c r="A103" s="43" t="s">
        <v>490</v>
      </c>
      <c r="B103" s="43" t="s">
        <v>491</v>
      </c>
      <c r="C103" s="43" t="s">
        <v>115</v>
      </c>
      <c r="D103" s="43" t="s">
        <v>325</v>
      </c>
      <c r="E103" s="44">
        <f>INDEX('Parameters | Agora'!$B$25:$D$33,MATCH($C103,'Parameters | Agora'!$A$25:$A$33,0),MATCH(E$1,'Parameters | Agora'!$B$24:$D$24,0))</f>
        <v>0.13900000000000001</v>
      </c>
      <c r="F103" s="44">
        <f>INDEX('Parameters | Agora'!$B$25:$D$33,MATCH($C103,'Parameters | Agora'!$A$25:$A$33,0),MATCH(F$1,'Parameters | Agora'!$B$24:$D$24,0))</f>
        <v>4.7E-2</v>
      </c>
      <c r="G103" s="44">
        <f>INDEX('Parameters | Agora'!$B$25:$D$33,MATCH($C103,'Parameters | Agora'!$A$25:$A$33,0),MATCH(G$1,'Parameters | Agora'!$B$24:$D$24,0))</f>
        <v>0.10299999999999999</v>
      </c>
      <c r="H103" s="42">
        <v>1440</v>
      </c>
      <c r="I103" s="8">
        <f>'Parameters | Agora'!$B$22</f>
        <v>1080</v>
      </c>
      <c r="J103" s="15">
        <f>'Parameters | Agora'!$B$21</f>
        <v>20</v>
      </c>
      <c r="K103" s="45">
        <f t="shared" si="5"/>
        <v>3.706666666666667</v>
      </c>
      <c r="L103" s="45">
        <f t="shared" si="3"/>
        <v>1.2533333333333334</v>
      </c>
      <c r="M103" s="45">
        <f t="shared" si="4"/>
        <v>2.7466666666666666</v>
      </c>
      <c r="N103" s="46">
        <f>E103*$H103/'Parameters | Agora'!$B$19*$J103</f>
        <v>22.240000000000002</v>
      </c>
      <c r="O103" s="46">
        <f>F103*$H103/'Parameters | Agora'!$B$19*$J103</f>
        <v>7.5200000000000014</v>
      </c>
      <c r="P103" s="46">
        <f>G103*$H103/'Parameters | Agora'!$B$19*$J103</f>
        <v>16.48</v>
      </c>
    </row>
    <row r="104" spans="1:16">
      <c r="A104" s="43" t="s">
        <v>374</v>
      </c>
      <c r="B104" s="43" t="s">
        <v>375</v>
      </c>
      <c r="C104" s="43" t="s">
        <v>114</v>
      </c>
      <c r="D104" s="43" t="s">
        <v>325</v>
      </c>
      <c r="E104" s="44">
        <f>INDEX('Parameters | Agora'!$B$25:$D$33,MATCH($C104,'Parameters | Agora'!$A$25:$A$33,0),MATCH(E$1,'Parameters | Agora'!$B$24:$D$24,0))</f>
        <v>0.13600000000000001</v>
      </c>
      <c r="F104" s="44">
        <f>INDEX('Parameters | Agora'!$B$25:$D$33,MATCH($C104,'Parameters | Agora'!$A$25:$A$33,0),MATCH(F$1,'Parameters | Agora'!$B$24:$D$24,0))</f>
        <v>5.2999999999999999E-2</v>
      </c>
      <c r="G104" s="44">
        <f>INDEX('Parameters | Agora'!$B$25:$D$33,MATCH($C104,'Parameters | Agora'!$A$25:$A$33,0),MATCH(G$1,'Parameters | Agora'!$B$24:$D$24,0))</f>
        <v>0.14799999999999999</v>
      </c>
      <c r="H104" s="42">
        <v>1690</v>
      </c>
      <c r="I104" s="8">
        <f>'Parameters | Agora'!$B$22</f>
        <v>1080</v>
      </c>
      <c r="J104" s="15">
        <f>'Parameters | Agora'!$B$21</f>
        <v>20</v>
      </c>
      <c r="K104" s="45">
        <f t="shared" si="5"/>
        <v>4.2562962962962967</v>
      </c>
      <c r="L104" s="45">
        <f t="shared" si="3"/>
        <v>1.6587037037037036</v>
      </c>
      <c r="M104" s="45">
        <f t="shared" si="4"/>
        <v>4.6318518518518514</v>
      </c>
      <c r="N104" s="46">
        <f>E104*$H104/'Parameters | Agora'!$B$19*$J104</f>
        <v>25.53777777777778</v>
      </c>
      <c r="O104" s="46">
        <f>F104*$H104/'Parameters | Agora'!$B$19*$J104</f>
        <v>9.9522222222222219</v>
      </c>
      <c r="P104" s="46">
        <f>G104*$H104/'Parameters | Agora'!$B$19*$J104</f>
        <v>27.791111111111107</v>
      </c>
    </row>
    <row r="105" spans="1:16">
      <c r="A105" s="43" t="s">
        <v>486</v>
      </c>
      <c r="B105" s="43" t="s">
        <v>487</v>
      </c>
      <c r="C105" s="43" t="s">
        <v>114</v>
      </c>
      <c r="D105" s="43" t="s">
        <v>325</v>
      </c>
      <c r="E105" s="44">
        <f>INDEX('Parameters | Agora'!$B$25:$D$33,MATCH($C105,'Parameters | Agora'!$A$25:$A$33,0),MATCH(E$1,'Parameters | Agora'!$B$24:$D$24,0))</f>
        <v>0.13600000000000001</v>
      </c>
      <c r="F105" s="44">
        <f>INDEX('Parameters | Agora'!$B$25:$D$33,MATCH($C105,'Parameters | Agora'!$A$25:$A$33,0),MATCH(F$1,'Parameters | Agora'!$B$24:$D$24,0))</f>
        <v>5.2999999999999999E-2</v>
      </c>
      <c r="G105" s="44">
        <f>INDEX('Parameters | Agora'!$B$25:$D$33,MATCH($C105,'Parameters | Agora'!$A$25:$A$33,0),MATCH(G$1,'Parameters | Agora'!$B$24:$D$24,0))</f>
        <v>0.14799999999999999</v>
      </c>
      <c r="H105" s="42">
        <v>2810</v>
      </c>
      <c r="I105" s="8">
        <f>'Parameters | Agora'!$B$22</f>
        <v>1080</v>
      </c>
      <c r="J105" s="15">
        <f>'Parameters | Agora'!$B$21</f>
        <v>20</v>
      </c>
      <c r="K105" s="45">
        <f t="shared" si="5"/>
        <v>7.0770370370370372</v>
      </c>
      <c r="L105" s="45">
        <f t="shared" si="3"/>
        <v>2.7579629629629632</v>
      </c>
      <c r="M105" s="45">
        <f t="shared" si="4"/>
        <v>7.7014814814814816</v>
      </c>
      <c r="N105" s="46">
        <f>E105*$H105/'Parameters | Agora'!$B$19*$J105</f>
        <v>42.462222222222223</v>
      </c>
      <c r="O105" s="46">
        <f>F105*$H105/'Parameters | Agora'!$B$19*$J105</f>
        <v>16.547777777777778</v>
      </c>
      <c r="P105" s="46">
        <f>G105*$H105/'Parameters | Agora'!$B$19*$J105</f>
        <v>46.208888888888886</v>
      </c>
    </row>
    <row r="106" spans="1:16">
      <c r="A106" s="43" t="s">
        <v>616</v>
      </c>
      <c r="B106" s="43" t="s">
        <v>617</v>
      </c>
      <c r="C106" s="43" t="s">
        <v>116</v>
      </c>
      <c r="D106" s="43" t="s">
        <v>121</v>
      </c>
      <c r="E106" s="44">
        <f>INDEX('Parameters | Agora'!$B$25:$D$33,MATCH($C106,'Parameters | Agora'!$A$25:$A$33,0),MATCH(E$1,'Parameters | Agora'!$B$24:$D$24,0))</f>
        <v>7.8E-2</v>
      </c>
      <c r="F106" s="44">
        <f>INDEX('Parameters | Agora'!$B$25:$D$33,MATCH($C106,'Parameters | Agora'!$A$25:$A$33,0),MATCH(F$1,'Parameters | Agora'!$B$24:$D$24,0))</f>
        <v>5.3999999999999999E-2</v>
      </c>
      <c r="G106" s="44">
        <f>INDEX('Parameters | Agora'!$B$25:$D$33,MATCH($C106,'Parameters | Agora'!$A$25:$A$33,0),MATCH(G$1,'Parameters | Agora'!$B$24:$D$24,0))</f>
        <v>0.159</v>
      </c>
      <c r="H106" s="42">
        <v>20020</v>
      </c>
      <c r="I106" s="8">
        <f>'Parameters | Agora'!$B$22</f>
        <v>1080</v>
      </c>
      <c r="J106" s="15">
        <f>'Parameters | Agora'!$B$21</f>
        <v>20</v>
      </c>
      <c r="K106" s="45">
        <f t="shared" si="5"/>
        <v>28.917777777777776</v>
      </c>
      <c r="L106" s="45">
        <f t="shared" si="3"/>
        <v>20.019999999999996</v>
      </c>
      <c r="M106" s="45">
        <f t="shared" si="4"/>
        <v>58.947777777777773</v>
      </c>
      <c r="N106" s="46">
        <f>E106*$H106/'Parameters | Agora'!$B$19*$J106</f>
        <v>173.50666666666666</v>
      </c>
      <c r="O106" s="46">
        <f>F106*$H106/'Parameters | Agora'!$B$19*$J106</f>
        <v>120.11999999999999</v>
      </c>
      <c r="P106" s="46">
        <f>G106*$H106/'Parameters | Agora'!$B$19*$J106</f>
        <v>353.68666666666661</v>
      </c>
    </row>
    <row r="107" spans="1:16">
      <c r="A107" s="43" t="s">
        <v>488</v>
      </c>
      <c r="B107" s="43" t="s">
        <v>489</v>
      </c>
      <c r="C107" s="43" t="s">
        <v>114</v>
      </c>
      <c r="D107" s="43" t="s">
        <v>121</v>
      </c>
      <c r="E107" s="44">
        <f>INDEX('Parameters | Agora'!$B$25:$D$33,MATCH($C107,'Parameters | Agora'!$A$25:$A$33,0),MATCH(E$1,'Parameters | Agora'!$B$24:$D$24,0))</f>
        <v>0.13600000000000001</v>
      </c>
      <c r="F107" s="44">
        <f>INDEX('Parameters | Agora'!$B$25:$D$33,MATCH($C107,'Parameters | Agora'!$A$25:$A$33,0),MATCH(F$1,'Parameters | Agora'!$B$24:$D$24,0))</f>
        <v>5.2999999999999999E-2</v>
      </c>
      <c r="G107" s="44">
        <f>INDEX('Parameters | Agora'!$B$25:$D$33,MATCH($C107,'Parameters | Agora'!$A$25:$A$33,0),MATCH(G$1,'Parameters | Agora'!$B$24:$D$24,0))</f>
        <v>0.14799999999999999</v>
      </c>
      <c r="H107" s="42">
        <v>36190</v>
      </c>
      <c r="I107" s="8">
        <f>'Parameters | Agora'!$B$22</f>
        <v>1080</v>
      </c>
      <c r="J107" s="15">
        <f>'Parameters | Agora'!$B$21</f>
        <v>20</v>
      </c>
      <c r="K107" s="45">
        <f t="shared" si="5"/>
        <v>91.145185185185198</v>
      </c>
      <c r="L107" s="45">
        <f t="shared" si="3"/>
        <v>35.519814814814815</v>
      </c>
      <c r="M107" s="45">
        <f t="shared" si="4"/>
        <v>99.18740740740742</v>
      </c>
      <c r="N107" s="46">
        <f>E107*$H107/'Parameters | Agora'!$B$19*$J107</f>
        <v>546.87111111111119</v>
      </c>
      <c r="O107" s="46">
        <f>F107*$H107/'Parameters | Agora'!$B$19*$J107</f>
        <v>213.11888888888888</v>
      </c>
      <c r="P107" s="46">
        <f>G107*$H107/'Parameters | Agora'!$B$19*$J107</f>
        <v>595.12444444444441</v>
      </c>
    </row>
    <row r="108" spans="1:16">
      <c r="A108" s="43" t="s">
        <v>700</v>
      </c>
      <c r="B108" s="43" t="s">
        <v>701</v>
      </c>
      <c r="C108" s="43" t="s">
        <v>117</v>
      </c>
      <c r="D108" s="43" t="s">
        <v>121</v>
      </c>
      <c r="E108" s="44">
        <f>INDEX('Parameters | Agora'!$B$25:$D$33,MATCH($C108,'Parameters | Agora'!$A$25:$A$33,0),MATCH(E$1,'Parameters | Agora'!$B$24:$D$24,0))</f>
        <v>0.16</v>
      </c>
      <c r="F108" s="44">
        <f>INDEX('Parameters | Agora'!$B$25:$D$33,MATCH($C108,'Parameters | Agora'!$A$25:$A$33,0),MATCH(F$1,'Parameters | Agora'!$B$24:$D$24,0))</f>
        <v>4.4999999999999998E-2</v>
      </c>
      <c r="G108" s="44">
        <f>INDEX('Parameters | Agora'!$B$25:$D$33,MATCH($C108,'Parameters | Agora'!$A$25:$A$33,0),MATCH(G$1,'Parameters | Agora'!$B$24:$D$24,0))</f>
        <v>0.105</v>
      </c>
      <c r="H108" s="42">
        <v>40600</v>
      </c>
      <c r="I108" s="8">
        <f>'Parameters | Agora'!$B$22</f>
        <v>1080</v>
      </c>
      <c r="J108" s="15">
        <f>'Parameters | Agora'!$B$21</f>
        <v>20</v>
      </c>
      <c r="K108" s="45">
        <f t="shared" si="5"/>
        <v>120.2962962962963</v>
      </c>
      <c r="L108" s="45">
        <f t="shared" si="3"/>
        <v>33.833333333333336</v>
      </c>
      <c r="M108" s="45">
        <f t="shared" si="4"/>
        <v>78.944444444444443</v>
      </c>
      <c r="N108" s="46">
        <f>E108*$H108/'Parameters | Agora'!$B$19*$J108</f>
        <v>721.77777777777783</v>
      </c>
      <c r="O108" s="46">
        <f>F108*$H108/'Parameters | Agora'!$B$19*$J108</f>
        <v>203</v>
      </c>
      <c r="P108" s="46">
        <f>G108*$H108/'Parameters | Agora'!$B$19*$J108</f>
        <v>473.66666666666669</v>
      </c>
    </row>
    <row r="109" spans="1:16">
      <c r="A109" s="43" t="s">
        <v>492</v>
      </c>
      <c r="B109" s="43" t="s">
        <v>493</v>
      </c>
      <c r="C109" s="43" t="s">
        <v>114</v>
      </c>
      <c r="D109" s="43" t="s">
        <v>325</v>
      </c>
      <c r="E109" s="44">
        <f>INDEX('Parameters | Agora'!$B$25:$D$33,MATCH($C109,'Parameters | Agora'!$A$25:$A$33,0),MATCH(E$1,'Parameters | Agora'!$B$24:$D$24,0))</f>
        <v>0.13600000000000001</v>
      </c>
      <c r="F109" s="44">
        <f>INDEX('Parameters | Agora'!$B$25:$D$33,MATCH($C109,'Parameters | Agora'!$A$25:$A$33,0),MATCH(F$1,'Parameters | Agora'!$B$24:$D$24,0))</f>
        <v>5.2999999999999999E-2</v>
      </c>
      <c r="G109" s="44">
        <f>INDEX('Parameters | Agora'!$B$25:$D$33,MATCH($C109,'Parameters | Agora'!$A$25:$A$33,0),MATCH(G$1,'Parameters | Agora'!$B$24:$D$24,0))</f>
        <v>0.14799999999999999</v>
      </c>
      <c r="H109" s="42">
        <v>2310</v>
      </c>
      <c r="I109" s="8">
        <f>'Parameters | Agora'!$B$22</f>
        <v>1080</v>
      </c>
      <c r="J109" s="15">
        <f>'Parameters | Agora'!$B$21</f>
        <v>20</v>
      </c>
      <c r="K109" s="45">
        <f t="shared" si="5"/>
        <v>5.8177777777777786</v>
      </c>
      <c r="L109" s="45">
        <f t="shared" si="3"/>
        <v>2.2672222222222222</v>
      </c>
      <c r="M109" s="45">
        <f t="shared" si="4"/>
        <v>6.3311111111111105</v>
      </c>
      <c r="N109" s="46">
        <f>E109*$H109/'Parameters | Agora'!$B$19*$J109</f>
        <v>34.906666666666666</v>
      </c>
      <c r="O109" s="46">
        <f>F109*$H109/'Parameters | Agora'!$B$19*$J109</f>
        <v>13.603333333333332</v>
      </c>
      <c r="P109" s="46">
        <f>G109*$H109/'Parameters | Agora'!$B$19*$J109</f>
        <v>37.986666666666665</v>
      </c>
    </row>
    <row r="110" spans="1:16">
      <c r="A110" s="43" t="s">
        <v>496</v>
      </c>
      <c r="B110" s="43" t="s">
        <v>497</v>
      </c>
      <c r="C110" s="43" t="s">
        <v>117</v>
      </c>
      <c r="D110" s="43" t="s">
        <v>325</v>
      </c>
      <c r="E110" s="44">
        <f>INDEX('Parameters | Agora'!$B$25:$D$33,MATCH($C110,'Parameters | Agora'!$A$25:$A$33,0),MATCH(E$1,'Parameters | Agora'!$B$24:$D$24,0))</f>
        <v>0.16</v>
      </c>
      <c r="F110" s="44">
        <f>INDEX('Parameters | Agora'!$B$25:$D$33,MATCH($C110,'Parameters | Agora'!$A$25:$A$33,0),MATCH(F$1,'Parameters | Agora'!$B$24:$D$24,0))</f>
        <v>4.4999999999999998E-2</v>
      </c>
      <c r="G110" s="44">
        <f>INDEX('Parameters | Agora'!$B$25:$D$33,MATCH($C110,'Parameters | Agora'!$A$25:$A$33,0),MATCH(G$1,'Parameters | Agora'!$B$24:$D$24,0))</f>
        <v>0.105</v>
      </c>
      <c r="H110" s="42">
        <v>4970</v>
      </c>
      <c r="I110" s="8">
        <f>'Parameters | Agora'!$B$22</f>
        <v>1080</v>
      </c>
      <c r="J110" s="15">
        <f>'Parameters | Agora'!$B$21</f>
        <v>20</v>
      </c>
      <c r="K110" s="45">
        <f t="shared" si="5"/>
        <v>14.725925925925926</v>
      </c>
      <c r="L110" s="45">
        <f t="shared" si="3"/>
        <v>4.1416666666666666</v>
      </c>
      <c r="M110" s="45">
        <f t="shared" si="4"/>
        <v>9.6638888888888896</v>
      </c>
      <c r="N110" s="46">
        <f>E110*$H110/'Parameters | Agora'!$B$19*$J110</f>
        <v>88.355555555555569</v>
      </c>
      <c r="O110" s="46">
        <f>F110*$H110/'Parameters | Agora'!$B$19*$J110</f>
        <v>24.849999999999998</v>
      </c>
      <c r="P110" s="46">
        <f>G110*$H110/'Parameters | Agora'!$B$19*$J110</f>
        <v>57.983333333333334</v>
      </c>
    </row>
    <row r="111" spans="1:16">
      <c r="A111" s="43" t="s">
        <v>500</v>
      </c>
      <c r="B111" s="43" t="s">
        <v>501</v>
      </c>
      <c r="C111" s="43" t="s">
        <v>119</v>
      </c>
      <c r="D111" s="43" t="s">
        <v>319</v>
      </c>
      <c r="E111" s="44">
        <f>INDEX('Parameters | Agora'!$B$25:$D$33,MATCH($C111,'Parameters | Agora'!$A$25:$A$33,0),MATCH(E$1,'Parameters | Agora'!$B$24:$D$24,0))</f>
        <v>0.14399999999999999</v>
      </c>
      <c r="F111" s="44">
        <f>INDEX('Parameters | Agora'!$B$25:$D$33,MATCH($C111,'Parameters | Agora'!$A$25:$A$33,0),MATCH(F$1,'Parameters | Agora'!$B$24:$D$24,0))</f>
        <v>0.106</v>
      </c>
      <c r="G111" s="44">
        <f>INDEX('Parameters | Agora'!$B$25:$D$33,MATCH($C111,'Parameters | Agora'!$A$25:$A$33,0),MATCH(G$1,'Parameters | Agora'!$B$24:$D$24,0))</f>
        <v>0.21</v>
      </c>
      <c r="H111" s="42">
        <v>680</v>
      </c>
      <c r="I111" s="8">
        <f>'Parameters | Agora'!$B$22</f>
        <v>1080</v>
      </c>
      <c r="J111" s="15">
        <f>'Parameters | Agora'!$B$21</f>
        <v>20</v>
      </c>
      <c r="K111" s="45">
        <f t="shared" si="5"/>
        <v>1.8133333333333332</v>
      </c>
      <c r="L111" s="45">
        <f t="shared" si="3"/>
        <v>1.3348148148148149</v>
      </c>
      <c r="M111" s="45">
        <f t="shared" si="4"/>
        <v>2.6444444444444444</v>
      </c>
      <c r="N111" s="46">
        <f>E111*$H111/'Parameters | Agora'!$B$19*$J111</f>
        <v>10.879999999999999</v>
      </c>
      <c r="O111" s="46">
        <f>F111*$H111/'Parameters | Agora'!$B$19*$J111</f>
        <v>8.0088888888888885</v>
      </c>
      <c r="P111" s="46">
        <f>G111*$H111/'Parameters | Agora'!$B$19*$J111</f>
        <v>15.866666666666664</v>
      </c>
    </row>
    <row r="112" spans="1:16">
      <c r="A112" s="43" t="s">
        <v>702</v>
      </c>
      <c r="B112" s="43" t="s">
        <v>703</v>
      </c>
      <c r="C112" s="43" t="s">
        <v>117</v>
      </c>
      <c r="D112" s="43" t="s">
        <v>322</v>
      </c>
      <c r="E112" s="44">
        <f>INDEX('Parameters | Agora'!$B$25:$D$33,MATCH($C112,'Parameters | Agora'!$A$25:$A$33,0),MATCH(E$1,'Parameters | Agora'!$B$24:$D$24,0))</f>
        <v>0.16</v>
      </c>
      <c r="F112" s="44">
        <f>INDEX('Parameters | Agora'!$B$25:$D$33,MATCH($C112,'Parameters | Agora'!$A$25:$A$33,0),MATCH(F$1,'Parameters | Agora'!$B$24:$D$24,0))</f>
        <v>4.4999999999999998E-2</v>
      </c>
      <c r="G112" s="44">
        <f>INDEX('Parameters | Agora'!$B$25:$D$33,MATCH($C112,'Parameters | Agora'!$A$25:$A$33,0),MATCH(G$1,'Parameters | Agora'!$B$24:$D$24,0))</f>
        <v>0.105</v>
      </c>
      <c r="H112" s="42">
        <v>7260</v>
      </c>
      <c r="I112" s="8">
        <f>'Parameters | Agora'!$B$22</f>
        <v>1080</v>
      </c>
      <c r="J112" s="15">
        <f>'Parameters | Agora'!$B$21</f>
        <v>20</v>
      </c>
      <c r="K112" s="45">
        <f t="shared" si="5"/>
        <v>21.511111111111113</v>
      </c>
      <c r="L112" s="45">
        <f t="shared" si="3"/>
        <v>6.05</v>
      </c>
      <c r="M112" s="45">
        <f t="shared" si="4"/>
        <v>14.116666666666667</v>
      </c>
      <c r="N112" s="46">
        <f>E112*$H112/'Parameters | Agora'!$B$19*$J112</f>
        <v>129.06666666666669</v>
      </c>
      <c r="O112" s="46">
        <f>F112*$H112/'Parameters | Agora'!$B$19*$J112</f>
        <v>36.299999999999997</v>
      </c>
      <c r="P112" s="46">
        <f>G112*$H112/'Parameters | Agora'!$B$19*$J112</f>
        <v>84.699999999999989</v>
      </c>
    </row>
    <row r="113" spans="1:16">
      <c r="A113" s="43" t="s">
        <v>618</v>
      </c>
      <c r="B113" s="43" t="s">
        <v>619</v>
      </c>
      <c r="C113" s="43" t="s">
        <v>116</v>
      </c>
      <c r="D113" s="43" t="s">
        <v>322</v>
      </c>
      <c r="E113" s="44">
        <f>INDEX('Parameters | Agora'!$B$25:$D$33,MATCH($C113,'Parameters | Agora'!$A$25:$A$33,0),MATCH(E$1,'Parameters | Agora'!$B$24:$D$24,0))</f>
        <v>7.8E-2</v>
      </c>
      <c r="F113" s="44">
        <f>INDEX('Parameters | Agora'!$B$25:$D$33,MATCH($C113,'Parameters | Agora'!$A$25:$A$33,0),MATCH(F$1,'Parameters | Agora'!$B$24:$D$24,0))</f>
        <v>5.3999999999999999E-2</v>
      </c>
      <c r="G113" s="44">
        <f>INDEX('Parameters | Agora'!$B$25:$D$33,MATCH($C113,'Parameters | Agora'!$A$25:$A$33,0),MATCH(G$1,'Parameters | Agora'!$B$24:$D$24,0))</f>
        <v>0.159</v>
      </c>
      <c r="H113" s="42">
        <v>12400</v>
      </c>
      <c r="I113" s="8">
        <f>'Parameters | Agora'!$B$22</f>
        <v>1080</v>
      </c>
      <c r="J113" s="15">
        <f>'Parameters | Agora'!$B$21</f>
        <v>20</v>
      </c>
      <c r="K113" s="45">
        <f t="shared" si="5"/>
        <v>17.911111111111111</v>
      </c>
      <c r="L113" s="45">
        <f t="shared" si="3"/>
        <v>12.4</v>
      </c>
      <c r="M113" s="45">
        <f t="shared" si="4"/>
        <v>36.511111111111113</v>
      </c>
      <c r="N113" s="46">
        <f>E113*$H113/'Parameters | Agora'!$B$19*$J113</f>
        <v>107.46666666666668</v>
      </c>
      <c r="O113" s="46">
        <f>F113*$H113/'Parameters | Agora'!$B$19*$J113</f>
        <v>74.400000000000006</v>
      </c>
      <c r="P113" s="46">
        <f>G113*$H113/'Parameters | Agora'!$B$19*$J113</f>
        <v>219.06666666666669</v>
      </c>
    </row>
    <row r="114" spans="1:16">
      <c r="A114" s="43" t="s">
        <v>704</v>
      </c>
      <c r="B114" s="43" t="s">
        <v>705</v>
      </c>
      <c r="C114" s="43" t="s">
        <v>115</v>
      </c>
      <c r="D114" s="43" t="s">
        <v>121</v>
      </c>
      <c r="E114" s="44">
        <f>INDEX('Parameters | Agora'!$B$25:$D$33,MATCH($C114,'Parameters | Agora'!$A$25:$A$33,0),MATCH(E$1,'Parameters | Agora'!$B$24:$D$24,0))</f>
        <v>0.13900000000000001</v>
      </c>
      <c r="F114" s="44">
        <f>INDEX('Parameters | Agora'!$B$25:$D$33,MATCH($C114,'Parameters | Agora'!$A$25:$A$33,0),MATCH(F$1,'Parameters | Agora'!$B$24:$D$24,0))</f>
        <v>4.7E-2</v>
      </c>
      <c r="G114" s="44">
        <f>INDEX('Parameters | Agora'!$B$25:$D$33,MATCH($C114,'Parameters | Agora'!$A$25:$A$33,0),MATCH(G$1,'Parameters | Agora'!$B$24:$D$24,0))</f>
        <v>0.10299999999999999</v>
      </c>
      <c r="H114" s="42">
        <v>51299.482727272727</v>
      </c>
      <c r="I114" s="8">
        <f>'Parameters | Agora'!$B$22</f>
        <v>1080</v>
      </c>
      <c r="J114" s="15">
        <f>'Parameters | Agora'!$B$21</f>
        <v>20</v>
      </c>
      <c r="K114" s="45">
        <f t="shared" si="5"/>
        <v>132.04866850168352</v>
      </c>
      <c r="L114" s="45">
        <f t="shared" si="3"/>
        <v>44.649549781144785</v>
      </c>
      <c r="M114" s="45">
        <f t="shared" si="4"/>
        <v>97.849013350168335</v>
      </c>
      <c r="N114" s="46">
        <f>E114*$H114/'Parameters | Agora'!$B$19*$J114</f>
        <v>792.29201101010108</v>
      </c>
      <c r="O114" s="46">
        <f>F114*$H114/'Parameters | Agora'!$B$19*$J114</f>
        <v>267.89729868686868</v>
      </c>
      <c r="P114" s="46">
        <f>G114*$H114/'Parameters | Agora'!$B$19*$J114</f>
        <v>587.09408010101004</v>
      </c>
    </row>
    <row r="115" spans="1:16">
      <c r="A115" s="43" t="s">
        <v>614</v>
      </c>
      <c r="B115" s="43" t="s">
        <v>615</v>
      </c>
      <c r="C115" s="43" t="s">
        <v>118</v>
      </c>
      <c r="D115" s="43" t="s">
        <v>325</v>
      </c>
      <c r="E115" s="44">
        <f>INDEX('Parameters | Agora'!$B$25:$D$33,MATCH($C115,'Parameters | Agora'!$A$25:$A$33,0),MATCH(E$1,'Parameters | Agora'!$B$24:$D$24,0))</f>
        <v>0.06</v>
      </c>
      <c r="F115" s="44">
        <f>INDEX('Parameters | Agora'!$B$25:$D$33,MATCH($C115,'Parameters | Agora'!$A$25:$A$33,0),MATCH(F$1,'Parameters | Agora'!$B$24:$D$24,0))</f>
        <v>0.05</v>
      </c>
      <c r="G115" s="44">
        <f>INDEX('Parameters | Agora'!$B$25:$D$33,MATCH($C115,'Parameters | Agora'!$A$25:$A$33,0),MATCH(G$1,'Parameters | Agora'!$B$24:$D$24,0))</f>
        <v>0.17299999999999999</v>
      </c>
      <c r="H115" s="42">
        <v>3610</v>
      </c>
      <c r="I115" s="8">
        <f>'Parameters | Agora'!$B$22</f>
        <v>1080</v>
      </c>
      <c r="J115" s="15">
        <f>'Parameters | Agora'!$B$21</f>
        <v>20</v>
      </c>
      <c r="K115" s="45">
        <f t="shared" si="5"/>
        <v>4.0111111111111111</v>
      </c>
      <c r="L115" s="45">
        <f t="shared" si="3"/>
        <v>3.3425925925925926</v>
      </c>
      <c r="M115" s="45">
        <f t="shared" si="4"/>
        <v>11.565370370370369</v>
      </c>
      <c r="N115" s="46">
        <f>E115*$H115/'Parameters | Agora'!$B$19*$J115</f>
        <v>24.066666666666666</v>
      </c>
      <c r="O115" s="46">
        <f>F115*$H115/'Parameters | Agora'!$B$19*$J115</f>
        <v>20.055555555555557</v>
      </c>
      <c r="P115" s="46">
        <f>G115*$H115/'Parameters | Agora'!$B$19*$J115</f>
        <v>69.392222222222216</v>
      </c>
    </row>
    <row r="116" spans="1:16">
      <c r="A116" s="43" t="s">
        <v>498</v>
      </c>
      <c r="B116" s="43" t="s">
        <v>499</v>
      </c>
      <c r="C116" s="43" t="s">
        <v>119</v>
      </c>
      <c r="D116" s="43" t="s">
        <v>325</v>
      </c>
      <c r="E116" s="44">
        <f>INDEX('Parameters | Agora'!$B$25:$D$33,MATCH($C116,'Parameters | Agora'!$A$25:$A$33,0),MATCH(E$1,'Parameters | Agora'!$B$24:$D$24,0))</f>
        <v>0.14399999999999999</v>
      </c>
      <c r="F116" s="44">
        <f>INDEX('Parameters | Agora'!$B$25:$D$33,MATCH($C116,'Parameters | Agora'!$A$25:$A$33,0),MATCH(F$1,'Parameters | Agora'!$B$24:$D$24,0))</f>
        <v>0.106</v>
      </c>
      <c r="G116" s="44">
        <f>INDEX('Parameters | Agora'!$B$25:$D$33,MATCH($C116,'Parameters | Agora'!$A$25:$A$33,0),MATCH(G$1,'Parameters | Agora'!$B$24:$D$24,0))</f>
        <v>0.21</v>
      </c>
      <c r="H116" s="42">
        <v>1230</v>
      </c>
      <c r="I116" s="8">
        <f>'Parameters | Agora'!$B$22</f>
        <v>1080</v>
      </c>
      <c r="J116" s="15">
        <f>'Parameters | Agora'!$B$21</f>
        <v>20</v>
      </c>
      <c r="K116" s="45">
        <f t="shared" si="5"/>
        <v>3.2799999999999994</v>
      </c>
      <c r="L116" s="45">
        <f t="shared" si="3"/>
        <v>2.4144444444444444</v>
      </c>
      <c r="M116" s="45">
        <f t="shared" si="4"/>
        <v>4.7833333333333332</v>
      </c>
      <c r="N116" s="46">
        <f>E116*$H116/'Parameters | Agora'!$B$19*$J116</f>
        <v>19.679999999999996</v>
      </c>
      <c r="O116" s="46">
        <f>F116*$H116/'Parameters | Agora'!$B$19*$J116</f>
        <v>14.486666666666665</v>
      </c>
      <c r="P116" s="46">
        <f>G116*$H116/'Parameters | Agora'!$B$19*$J116</f>
        <v>28.700000000000003</v>
      </c>
    </row>
    <row r="117" spans="1:16">
      <c r="A117" s="43" t="s">
        <v>502</v>
      </c>
      <c r="B117" s="43" t="s">
        <v>503</v>
      </c>
      <c r="C117" s="43" t="s">
        <v>115</v>
      </c>
      <c r="D117" s="43" t="s">
        <v>121</v>
      </c>
      <c r="E117" s="44">
        <f>INDEX('Parameters | Agora'!$B$25:$D$33,MATCH($C117,'Parameters | Agora'!$A$25:$A$33,0),MATCH(E$1,'Parameters | Agora'!$B$24:$D$24,0))</f>
        <v>0.13900000000000001</v>
      </c>
      <c r="F117" s="44">
        <f>INDEX('Parameters | Agora'!$B$25:$D$33,MATCH($C117,'Parameters | Agora'!$A$25:$A$33,0),MATCH(F$1,'Parameters | Agora'!$B$24:$D$24,0))</f>
        <v>4.7E-2</v>
      </c>
      <c r="G117" s="44">
        <f>INDEX('Parameters | Agora'!$B$25:$D$33,MATCH($C117,'Parameters | Agora'!$A$25:$A$33,0),MATCH(G$1,'Parameters | Agora'!$B$24:$D$24,0))</f>
        <v>0.10299999999999999</v>
      </c>
      <c r="H117" s="42">
        <v>23870</v>
      </c>
      <c r="I117" s="8">
        <f>'Parameters | Agora'!$B$22</f>
        <v>1080</v>
      </c>
      <c r="J117" s="15">
        <f>'Parameters | Agora'!$B$21</f>
        <v>20</v>
      </c>
      <c r="K117" s="45">
        <f t="shared" si="5"/>
        <v>61.443148148148154</v>
      </c>
      <c r="L117" s="45">
        <f t="shared" si="3"/>
        <v>20.775740740740744</v>
      </c>
      <c r="M117" s="45">
        <f t="shared" si="4"/>
        <v>45.529814814814813</v>
      </c>
      <c r="N117" s="46">
        <f>E117*$H117/'Parameters | Agora'!$B$19*$J117</f>
        <v>368.6588888888889</v>
      </c>
      <c r="O117" s="46">
        <f>F117*$H117/'Parameters | Agora'!$B$19*$J117</f>
        <v>124.65444444444445</v>
      </c>
      <c r="P117" s="46">
        <f>G117*$H117/'Parameters | Agora'!$B$19*$J117</f>
        <v>273.17888888888882</v>
      </c>
    </row>
    <row r="118" spans="1:16">
      <c r="A118" s="43" t="s">
        <v>504</v>
      </c>
      <c r="B118" s="43" t="s">
        <v>505</v>
      </c>
      <c r="C118" s="43" t="s">
        <v>115</v>
      </c>
      <c r="D118" s="43" t="s">
        <v>121</v>
      </c>
      <c r="E118" s="44">
        <f>INDEX('Parameters | Agora'!$B$25:$D$33,MATCH($C118,'Parameters | Agora'!$A$25:$A$33,0),MATCH(E$1,'Parameters | Agora'!$B$24:$D$24,0))</f>
        <v>0.13900000000000001</v>
      </c>
      <c r="F118" s="44">
        <f>INDEX('Parameters | Agora'!$B$25:$D$33,MATCH($C118,'Parameters | Agora'!$A$25:$A$33,0),MATCH(F$1,'Parameters | Agora'!$B$24:$D$24,0))</f>
        <v>4.7E-2</v>
      </c>
      <c r="G118" s="44">
        <f>INDEX('Parameters | Agora'!$B$25:$D$33,MATCH($C118,'Parameters | Agora'!$A$25:$A$33,0),MATCH(G$1,'Parameters | Agora'!$B$24:$D$24,0))</f>
        <v>0.10299999999999999</v>
      </c>
      <c r="H118" s="42">
        <v>89200</v>
      </c>
      <c r="I118" s="8">
        <f>'Parameters | Agora'!$B$22</f>
        <v>1080</v>
      </c>
      <c r="J118" s="15">
        <f>'Parameters | Agora'!$B$21</f>
        <v>20</v>
      </c>
      <c r="K118" s="45">
        <f t="shared" si="5"/>
        <v>229.60740740740744</v>
      </c>
      <c r="L118" s="45">
        <f t="shared" si="3"/>
        <v>77.637037037037032</v>
      </c>
      <c r="M118" s="45">
        <f t="shared" si="4"/>
        <v>170.14074074074074</v>
      </c>
      <c r="N118" s="46">
        <f>E118*$H118/'Parameters | Agora'!$B$19*$J118</f>
        <v>1377.6444444444446</v>
      </c>
      <c r="O118" s="46">
        <f>F118*$H118/'Parameters | Agora'!$B$19*$J118</f>
        <v>465.82222222222219</v>
      </c>
      <c r="P118" s="46">
        <f>G118*$H118/'Parameters | Agora'!$B$19*$J118</f>
        <v>1020.8444444444444</v>
      </c>
    </row>
    <row r="119" spans="1:16">
      <c r="A119" s="43" t="s">
        <v>494</v>
      </c>
      <c r="B119" s="43" t="s">
        <v>495</v>
      </c>
      <c r="C119" s="43" t="s">
        <v>115</v>
      </c>
      <c r="D119" s="43" t="s">
        <v>121</v>
      </c>
      <c r="E119" s="44">
        <f>INDEX('Parameters | Agora'!$B$25:$D$33,MATCH($C119,'Parameters | Agora'!$A$25:$A$33,0),MATCH(E$1,'Parameters | Agora'!$B$24:$D$24,0))</f>
        <v>0.13900000000000001</v>
      </c>
      <c r="F119" s="44">
        <f>INDEX('Parameters | Agora'!$B$25:$D$33,MATCH($C119,'Parameters | Agora'!$A$25:$A$33,0),MATCH(F$1,'Parameters | Agora'!$B$24:$D$24,0))</f>
        <v>4.7E-2</v>
      </c>
      <c r="G119" s="44">
        <f>INDEX('Parameters | Agora'!$B$25:$D$33,MATCH($C119,'Parameters | Agora'!$A$25:$A$33,0),MATCH(G$1,'Parameters | Agora'!$B$24:$D$24,0))</f>
        <v>0.10299999999999999</v>
      </c>
      <c r="H119" s="42">
        <v>21850</v>
      </c>
      <c r="I119" s="8">
        <f>'Parameters | Agora'!$B$22</f>
        <v>1080</v>
      </c>
      <c r="J119" s="15">
        <f>'Parameters | Agora'!$B$21</f>
        <v>20</v>
      </c>
      <c r="K119" s="45">
        <f t="shared" si="5"/>
        <v>56.24351851851852</v>
      </c>
      <c r="L119" s="45">
        <f t="shared" si="3"/>
        <v>19.017592592592592</v>
      </c>
      <c r="M119" s="45">
        <f t="shared" si="4"/>
        <v>41.67685185185185</v>
      </c>
      <c r="N119" s="46">
        <f>E119*$H119/'Parameters | Agora'!$B$19*$J119</f>
        <v>337.46111111111111</v>
      </c>
      <c r="O119" s="46">
        <f>F119*$H119/'Parameters | Agora'!$B$19*$J119</f>
        <v>114.10555555555555</v>
      </c>
      <c r="P119" s="46">
        <f>G119*$H119/'Parameters | Agora'!$B$19*$J119</f>
        <v>250.06111111111107</v>
      </c>
    </row>
    <row r="120" spans="1:16">
      <c r="A120" s="43" t="s">
        <v>506</v>
      </c>
      <c r="B120" s="43" t="s">
        <v>507</v>
      </c>
      <c r="C120" s="43" t="s">
        <v>114</v>
      </c>
      <c r="D120" s="43" t="s">
        <v>121</v>
      </c>
      <c r="E120" s="44">
        <f>INDEX('Parameters | Agora'!$B$25:$D$33,MATCH($C120,'Parameters | Agora'!$A$25:$A$33,0),MATCH(E$1,'Parameters | Agora'!$B$24:$D$24,0))</f>
        <v>0.13600000000000001</v>
      </c>
      <c r="F120" s="44">
        <f>INDEX('Parameters | Agora'!$B$25:$D$33,MATCH($C120,'Parameters | Agora'!$A$25:$A$33,0),MATCH(F$1,'Parameters | Agora'!$B$24:$D$24,0))</f>
        <v>5.2999999999999999E-2</v>
      </c>
      <c r="G120" s="44">
        <f>INDEX('Parameters | Agora'!$B$25:$D$33,MATCH($C120,'Parameters | Agora'!$A$25:$A$33,0),MATCH(G$1,'Parameters | Agora'!$B$24:$D$24,0))</f>
        <v>0.14799999999999999</v>
      </c>
      <c r="H120" s="42">
        <v>43680</v>
      </c>
      <c r="I120" s="8">
        <f>'Parameters | Agora'!$B$22</f>
        <v>1080</v>
      </c>
      <c r="J120" s="15">
        <f>'Parameters | Agora'!$B$21</f>
        <v>20</v>
      </c>
      <c r="K120" s="45">
        <f t="shared" si="5"/>
        <v>110.00888888888889</v>
      </c>
      <c r="L120" s="45">
        <f t="shared" si="3"/>
        <v>42.871111111111105</v>
      </c>
      <c r="M120" s="45">
        <f t="shared" si="4"/>
        <v>119.71555555555554</v>
      </c>
      <c r="N120" s="46">
        <f>E120*$H120/'Parameters | Agora'!$B$19*$J120</f>
        <v>660.0533333333334</v>
      </c>
      <c r="O120" s="46">
        <f>F120*$H120/'Parameters | Agora'!$B$19*$J120</f>
        <v>257.22666666666663</v>
      </c>
      <c r="P120" s="46">
        <f>G120*$H120/'Parameters | Agora'!$B$19*$J120</f>
        <v>718.29333333333329</v>
      </c>
    </row>
    <row r="121" spans="1:16">
      <c r="A121" s="43" t="s">
        <v>756</v>
      </c>
      <c r="B121" s="43" t="s">
        <v>757</v>
      </c>
      <c r="C121" s="43" t="s">
        <v>116</v>
      </c>
      <c r="D121" s="43" t="s">
        <v>121</v>
      </c>
      <c r="E121" s="44">
        <f>INDEX('Parameters | Agora'!$B$25:$D$33,MATCH($C121,'Parameters | Agora'!$A$25:$A$33,0),MATCH(E$1,'Parameters | Agora'!$B$24:$D$24,0))</f>
        <v>7.8E-2</v>
      </c>
      <c r="F121" s="44">
        <f>INDEX('Parameters | Agora'!$B$25:$D$33,MATCH($C121,'Parameters | Agora'!$A$25:$A$33,0),MATCH(F$1,'Parameters | Agora'!$B$24:$D$24,0))</f>
        <v>5.3999999999999999E-2</v>
      </c>
      <c r="G121" s="44">
        <f>INDEX('Parameters | Agora'!$B$25:$D$33,MATCH($C121,'Parameters | Agora'!$A$25:$A$33,0),MATCH(G$1,'Parameters | Agora'!$B$24:$D$24,0))</f>
        <v>0.159</v>
      </c>
      <c r="H121" s="42">
        <v>26815.565333333332</v>
      </c>
      <c r="I121" s="8">
        <f>'Parameters | Agora'!$B$22</f>
        <v>1080</v>
      </c>
      <c r="J121" s="15">
        <f>'Parameters | Agora'!$B$21</f>
        <v>20</v>
      </c>
      <c r="K121" s="45">
        <f t="shared" si="5"/>
        <v>38.733594370370369</v>
      </c>
      <c r="L121" s="45">
        <f t="shared" si="3"/>
        <v>26.815565333333332</v>
      </c>
      <c r="M121" s="45">
        <f t="shared" si="4"/>
        <v>78.956942370370356</v>
      </c>
      <c r="N121" s="46">
        <f>E121*$H121/'Parameters | Agora'!$B$19*$J121</f>
        <v>232.40156622222219</v>
      </c>
      <c r="O121" s="46">
        <f>F121*$H121/'Parameters | Agora'!$B$19*$J121</f>
        <v>160.89339200000001</v>
      </c>
      <c r="P121" s="46">
        <f>G121*$H121/'Parameters | Agora'!$B$19*$J121</f>
        <v>473.74165422222222</v>
      </c>
    </row>
    <row r="122" spans="1:16">
      <c r="A122" s="43" t="s">
        <v>536</v>
      </c>
      <c r="B122" s="43" t="s">
        <v>537</v>
      </c>
      <c r="C122" s="43" t="s">
        <v>117</v>
      </c>
      <c r="D122" s="43" t="s">
        <v>325</v>
      </c>
      <c r="E122" s="44">
        <f>INDEX('Parameters | Agora'!$B$25:$D$33,MATCH($C122,'Parameters | Agora'!$A$25:$A$33,0),MATCH(E$1,'Parameters | Agora'!$B$24:$D$24,0))</f>
        <v>0.16</v>
      </c>
      <c r="F122" s="44">
        <f>INDEX('Parameters | Agora'!$B$25:$D$33,MATCH($C122,'Parameters | Agora'!$A$25:$A$33,0),MATCH(F$1,'Parameters | Agora'!$B$24:$D$24,0))</f>
        <v>4.4999999999999998E-2</v>
      </c>
      <c r="G122" s="44">
        <f>INDEX('Parameters | Agora'!$B$25:$D$33,MATCH($C122,'Parameters | Agora'!$A$25:$A$33,0),MATCH(G$1,'Parameters | Agora'!$B$24:$D$24,0))</f>
        <v>0.105</v>
      </c>
      <c r="H122" s="42">
        <v>3670</v>
      </c>
      <c r="I122" s="8">
        <f>'Parameters | Agora'!$B$22</f>
        <v>1080</v>
      </c>
      <c r="J122" s="15">
        <f>'Parameters | Agora'!$B$21</f>
        <v>20</v>
      </c>
      <c r="K122" s="45">
        <f t="shared" si="5"/>
        <v>10.874074074074077</v>
      </c>
      <c r="L122" s="45">
        <f t="shared" si="3"/>
        <v>3.0583333333333336</v>
      </c>
      <c r="M122" s="45">
        <f t="shared" si="4"/>
        <v>7.1361111111111111</v>
      </c>
      <c r="N122" s="46">
        <f>E122*$H122/'Parameters | Agora'!$B$19*$J122</f>
        <v>65.24444444444444</v>
      </c>
      <c r="O122" s="46">
        <f>F122*$H122/'Parameters | Agora'!$B$19*$J122</f>
        <v>18.350000000000001</v>
      </c>
      <c r="P122" s="46">
        <f>G122*$H122/'Parameters | Agora'!$B$19*$J122</f>
        <v>42.816666666666663</v>
      </c>
    </row>
    <row r="123" spans="1:16">
      <c r="A123" s="43" t="s">
        <v>706</v>
      </c>
      <c r="B123" s="43" t="s">
        <v>707</v>
      </c>
      <c r="C123" s="43" t="s">
        <v>115</v>
      </c>
      <c r="D123" s="43" t="s">
        <v>121</v>
      </c>
      <c r="E123" s="44">
        <f>INDEX('Parameters | Agora'!$B$25:$D$33,MATCH($C123,'Parameters | Agora'!$A$25:$A$33,0),MATCH(E$1,'Parameters | Agora'!$B$24:$D$24,0))</f>
        <v>0.13900000000000001</v>
      </c>
      <c r="F123" s="44">
        <f>INDEX('Parameters | Agora'!$B$25:$D$33,MATCH($C123,'Parameters | Agora'!$A$25:$A$33,0),MATCH(F$1,'Parameters | Agora'!$B$24:$D$24,0))</f>
        <v>4.7E-2</v>
      </c>
      <c r="G123" s="44">
        <f>INDEX('Parameters | Agora'!$B$25:$D$33,MATCH($C123,'Parameters | Agora'!$A$25:$A$33,0),MATCH(G$1,'Parameters | Agora'!$B$24:$D$24,0))</f>
        <v>0.10299999999999999</v>
      </c>
      <c r="H123" s="42">
        <v>51299.482727272727</v>
      </c>
      <c r="I123" s="8">
        <f>'Parameters | Agora'!$B$22</f>
        <v>1080</v>
      </c>
      <c r="J123" s="15">
        <f>'Parameters | Agora'!$B$21</f>
        <v>20</v>
      </c>
      <c r="K123" s="45">
        <f t="shared" si="5"/>
        <v>132.04866850168352</v>
      </c>
      <c r="L123" s="45">
        <f t="shared" si="3"/>
        <v>44.649549781144785</v>
      </c>
      <c r="M123" s="45">
        <f t="shared" si="4"/>
        <v>97.849013350168335</v>
      </c>
      <c r="N123" s="46">
        <f>E123*$H123/'Parameters | Agora'!$B$19*$J123</f>
        <v>792.29201101010108</v>
      </c>
      <c r="O123" s="46">
        <f>F123*$H123/'Parameters | Agora'!$B$19*$J123</f>
        <v>267.89729868686868</v>
      </c>
      <c r="P123" s="46">
        <f>G123*$H123/'Parameters | Agora'!$B$19*$J123</f>
        <v>587.09408010101004</v>
      </c>
    </row>
    <row r="124" spans="1:16">
      <c r="A124" s="43" t="s">
        <v>530</v>
      </c>
      <c r="B124" s="43" t="s">
        <v>531</v>
      </c>
      <c r="C124" s="43" t="s">
        <v>115</v>
      </c>
      <c r="D124" s="43" t="s">
        <v>322</v>
      </c>
      <c r="E124" s="44">
        <f>INDEX('Parameters | Agora'!$B$25:$D$33,MATCH($C124,'Parameters | Agora'!$A$25:$A$33,0),MATCH(E$1,'Parameters | Agora'!$B$24:$D$24,0))</f>
        <v>0.13900000000000001</v>
      </c>
      <c r="F124" s="44">
        <f>INDEX('Parameters | Agora'!$B$25:$D$33,MATCH($C124,'Parameters | Agora'!$A$25:$A$33,0),MATCH(F$1,'Parameters | Agora'!$B$24:$D$24,0))</f>
        <v>4.7E-2</v>
      </c>
      <c r="G124" s="44">
        <f>INDEX('Parameters | Agora'!$B$25:$D$33,MATCH($C124,'Parameters | Agora'!$A$25:$A$33,0),MATCH(G$1,'Parameters | Agora'!$B$24:$D$24,0))</f>
        <v>0.10299999999999999</v>
      </c>
      <c r="H124" s="42">
        <v>5500</v>
      </c>
      <c r="I124" s="8">
        <f>'Parameters | Agora'!$B$22</f>
        <v>1080</v>
      </c>
      <c r="J124" s="15">
        <f>'Parameters | Agora'!$B$21</f>
        <v>20</v>
      </c>
      <c r="K124" s="45">
        <f t="shared" si="5"/>
        <v>14.15740740740741</v>
      </c>
      <c r="L124" s="45">
        <f t="shared" si="3"/>
        <v>4.7870370370370372</v>
      </c>
      <c r="M124" s="45">
        <f t="shared" si="4"/>
        <v>10.49074074074074</v>
      </c>
      <c r="N124" s="46">
        <f>E124*$H124/'Parameters | Agora'!$B$19*$J124</f>
        <v>84.944444444444457</v>
      </c>
      <c r="O124" s="46">
        <f>F124*$H124/'Parameters | Agora'!$B$19*$J124</f>
        <v>28.722222222222221</v>
      </c>
      <c r="P124" s="46">
        <f>G124*$H124/'Parameters | Agora'!$B$19*$J124</f>
        <v>62.944444444444443</v>
      </c>
    </row>
    <row r="125" spans="1:16">
      <c r="A125" s="43" t="s">
        <v>510</v>
      </c>
      <c r="B125" s="43" t="s">
        <v>511</v>
      </c>
      <c r="C125" s="43" t="s">
        <v>119</v>
      </c>
      <c r="D125" s="43" t="s">
        <v>319</v>
      </c>
      <c r="E125" s="44">
        <f>INDEX('Parameters | Agora'!$B$25:$D$33,MATCH($C125,'Parameters | Agora'!$A$25:$A$33,0),MATCH(E$1,'Parameters | Agora'!$B$24:$D$24,0))</f>
        <v>0.14399999999999999</v>
      </c>
      <c r="F125" s="44">
        <f>INDEX('Parameters | Agora'!$B$25:$D$33,MATCH($C125,'Parameters | Agora'!$A$25:$A$33,0),MATCH(F$1,'Parameters | Agora'!$B$24:$D$24,0))</f>
        <v>0.106</v>
      </c>
      <c r="G125" s="44">
        <f>INDEX('Parameters | Agora'!$B$25:$D$33,MATCH($C125,'Parameters | Agora'!$A$25:$A$33,0),MATCH(G$1,'Parameters | Agora'!$B$24:$D$24,0))</f>
        <v>0.21</v>
      </c>
      <c r="H125" s="42">
        <v>510</v>
      </c>
      <c r="I125" s="8">
        <f>'Parameters | Agora'!$B$22</f>
        <v>1080</v>
      </c>
      <c r="J125" s="15">
        <f>'Parameters | Agora'!$B$21</f>
        <v>20</v>
      </c>
      <c r="K125" s="45">
        <f t="shared" si="5"/>
        <v>1.3599999999999999</v>
      </c>
      <c r="L125" s="45">
        <f t="shared" si="3"/>
        <v>1.0011111111111111</v>
      </c>
      <c r="M125" s="45">
        <f t="shared" si="4"/>
        <v>1.9833333333333334</v>
      </c>
      <c r="N125" s="46">
        <f>E125*$H125/'Parameters | Agora'!$B$19*$J125</f>
        <v>8.16</v>
      </c>
      <c r="O125" s="46">
        <f>F125*$H125/'Parameters | Agora'!$B$19*$J125</f>
        <v>6.0066666666666659</v>
      </c>
      <c r="P125" s="46">
        <f>G125*$H125/'Parameters | Agora'!$B$19*$J125</f>
        <v>11.899999999999999</v>
      </c>
    </row>
    <row r="126" spans="1:16">
      <c r="A126" s="43" t="s">
        <v>516</v>
      </c>
      <c r="B126" s="43" t="s">
        <v>517</v>
      </c>
      <c r="C126" s="43" t="s">
        <v>118</v>
      </c>
      <c r="D126" s="43" t="s">
        <v>322</v>
      </c>
      <c r="E126" s="44">
        <f>INDEX('Parameters | Agora'!$B$25:$D$33,MATCH($C126,'Parameters | Agora'!$A$25:$A$33,0),MATCH(E$1,'Parameters | Agora'!$B$24:$D$24,0))</f>
        <v>0.06</v>
      </c>
      <c r="F126" s="44">
        <f>INDEX('Parameters | Agora'!$B$25:$D$33,MATCH($C126,'Parameters | Agora'!$A$25:$A$33,0),MATCH(F$1,'Parameters | Agora'!$B$24:$D$24,0))</f>
        <v>0.05</v>
      </c>
      <c r="G126" s="44">
        <f>INDEX('Parameters | Agora'!$B$25:$D$33,MATCH($C126,'Parameters | Agora'!$A$25:$A$33,0),MATCH(G$1,'Parameters | Agora'!$B$24:$D$24,0))</f>
        <v>0.17299999999999999</v>
      </c>
      <c r="H126" s="42">
        <v>10880</v>
      </c>
      <c r="I126" s="8">
        <f>'Parameters | Agora'!$B$22</f>
        <v>1080</v>
      </c>
      <c r="J126" s="15">
        <f>'Parameters | Agora'!$B$21</f>
        <v>20</v>
      </c>
      <c r="K126" s="45">
        <f t="shared" si="5"/>
        <v>12.088888888888889</v>
      </c>
      <c r="L126" s="45">
        <f t="shared" si="3"/>
        <v>10.074074074074073</v>
      </c>
      <c r="M126" s="45">
        <f t="shared" si="4"/>
        <v>34.856296296296293</v>
      </c>
      <c r="N126" s="46">
        <f>E126*$H126/'Parameters | Agora'!$B$19*$J126</f>
        <v>72.533333333333331</v>
      </c>
      <c r="O126" s="46">
        <f>F126*$H126/'Parameters | Agora'!$B$19*$J126</f>
        <v>60.444444444444443</v>
      </c>
      <c r="P126" s="46">
        <f>G126*$H126/'Parameters | Agora'!$B$19*$J126</f>
        <v>209.13777777777773</v>
      </c>
    </row>
    <row r="127" spans="1:16">
      <c r="A127" s="43" t="s">
        <v>526</v>
      </c>
      <c r="B127" s="43" t="s">
        <v>527</v>
      </c>
      <c r="C127" s="43" t="s">
        <v>116</v>
      </c>
      <c r="D127" s="43" t="s">
        <v>322</v>
      </c>
      <c r="E127" s="44">
        <f>INDEX('Parameters | Agora'!$B$25:$D$33,MATCH($C127,'Parameters | Agora'!$A$25:$A$33,0),MATCH(E$1,'Parameters | Agora'!$B$24:$D$24,0))</f>
        <v>7.8E-2</v>
      </c>
      <c r="F127" s="44">
        <f>INDEX('Parameters | Agora'!$B$25:$D$33,MATCH($C127,'Parameters | Agora'!$A$25:$A$33,0),MATCH(F$1,'Parameters | Agora'!$B$24:$D$24,0))</f>
        <v>5.3999999999999999E-2</v>
      </c>
      <c r="G127" s="44">
        <f>INDEX('Parameters | Agora'!$B$25:$D$33,MATCH($C127,'Parameters | Agora'!$A$25:$A$33,0),MATCH(G$1,'Parameters | Agora'!$B$24:$D$24,0))</f>
        <v>0.159</v>
      </c>
      <c r="H127" s="42">
        <v>10820</v>
      </c>
      <c r="I127" s="8">
        <f>'Parameters | Agora'!$B$22</f>
        <v>1080</v>
      </c>
      <c r="J127" s="15">
        <f>'Parameters | Agora'!$B$21</f>
        <v>20</v>
      </c>
      <c r="K127" s="45">
        <f t="shared" si="5"/>
        <v>15.628888888888889</v>
      </c>
      <c r="L127" s="45">
        <f t="shared" si="3"/>
        <v>10.819999999999999</v>
      </c>
      <c r="M127" s="45">
        <f t="shared" si="4"/>
        <v>31.858888888888892</v>
      </c>
      <c r="N127" s="46">
        <f>E127*$H127/'Parameters | Agora'!$B$19*$J127</f>
        <v>93.773333333333341</v>
      </c>
      <c r="O127" s="46">
        <f>F127*$H127/'Parameters | Agora'!$B$19*$J127</f>
        <v>64.92</v>
      </c>
      <c r="P127" s="46">
        <f>G127*$H127/'Parameters | Agora'!$B$19*$J127</f>
        <v>191.15333333333336</v>
      </c>
    </row>
    <row r="128" spans="1:16">
      <c r="A128" s="43" t="s">
        <v>758</v>
      </c>
      <c r="B128" s="43" t="s">
        <v>759</v>
      </c>
      <c r="C128" s="43" t="s">
        <v>114</v>
      </c>
      <c r="D128" s="43" t="s">
        <v>322</v>
      </c>
      <c r="E128" s="44">
        <f>INDEX('Parameters | Agora'!$B$25:$D$33,MATCH($C128,'Parameters | Agora'!$A$25:$A$33,0),MATCH(E$1,'Parameters | Agora'!$B$24:$D$24,0))</f>
        <v>0.13600000000000001</v>
      </c>
      <c r="F128" s="44">
        <f>INDEX('Parameters | Agora'!$B$25:$D$33,MATCH($C128,'Parameters | Agora'!$A$25:$A$33,0),MATCH(F$1,'Parameters | Agora'!$B$24:$D$24,0))</f>
        <v>5.2999999999999999E-2</v>
      </c>
      <c r="G128" s="44">
        <f>INDEX('Parameters | Agora'!$B$25:$D$33,MATCH($C128,'Parameters | Agora'!$A$25:$A$33,0),MATCH(G$1,'Parameters | Agora'!$B$24:$D$24,0))</f>
        <v>0.14799999999999999</v>
      </c>
      <c r="H128" s="42">
        <v>7270</v>
      </c>
      <c r="I128" s="8">
        <f>'Parameters | Agora'!$B$22</f>
        <v>1080</v>
      </c>
      <c r="J128" s="15">
        <f>'Parameters | Agora'!$B$21</f>
        <v>20</v>
      </c>
      <c r="K128" s="45">
        <f t="shared" si="5"/>
        <v>18.309629629629629</v>
      </c>
      <c r="L128" s="45">
        <f t="shared" si="3"/>
        <v>7.1353703703703708</v>
      </c>
      <c r="M128" s="45">
        <f t="shared" si="4"/>
        <v>19.925185185185185</v>
      </c>
      <c r="N128" s="46">
        <f>E128*$H128/'Parameters | Agora'!$B$19*$J128</f>
        <v>109.85777777777778</v>
      </c>
      <c r="O128" s="46">
        <f>F128*$H128/'Parameters | Agora'!$B$19*$J128</f>
        <v>42.812222222222225</v>
      </c>
      <c r="P128" s="46">
        <f>G128*$H128/'Parameters | Agora'!$B$19*$J128</f>
        <v>119.55111111111111</v>
      </c>
    </row>
    <row r="129" spans="1:16">
      <c r="A129" s="43" t="s">
        <v>760</v>
      </c>
      <c r="B129" s="43" t="s">
        <v>509</v>
      </c>
      <c r="C129" s="43" t="s">
        <v>115</v>
      </c>
      <c r="D129" s="43" t="s">
        <v>322</v>
      </c>
      <c r="E129" s="44">
        <f>INDEX('Parameters | Agora'!$B$25:$D$33,MATCH($C129,'Parameters | Agora'!$A$25:$A$33,0),MATCH(E$1,'Parameters | Agora'!$B$24:$D$24,0))</f>
        <v>0.13900000000000001</v>
      </c>
      <c r="F129" s="44">
        <f>INDEX('Parameters | Agora'!$B$25:$D$33,MATCH($C129,'Parameters | Agora'!$A$25:$A$33,0),MATCH(F$1,'Parameters | Agora'!$B$24:$D$24,0))</f>
        <v>4.7E-2</v>
      </c>
      <c r="G129" s="44">
        <f>INDEX('Parameters | Agora'!$B$25:$D$33,MATCH($C129,'Parameters | Agora'!$A$25:$A$33,0),MATCH(G$1,'Parameters | Agora'!$B$24:$D$24,0))</f>
        <v>0.10299999999999999</v>
      </c>
      <c r="H129" s="42">
        <v>6660</v>
      </c>
      <c r="I129" s="8">
        <f>'Parameters | Agora'!$B$22</f>
        <v>1080</v>
      </c>
      <c r="J129" s="15">
        <f>'Parameters | Agora'!$B$21</f>
        <v>20</v>
      </c>
      <c r="K129" s="45">
        <f t="shared" si="5"/>
        <v>17.143333333333334</v>
      </c>
      <c r="L129" s="45">
        <f t="shared" si="3"/>
        <v>5.7966666666666669</v>
      </c>
      <c r="M129" s="45">
        <f t="shared" si="4"/>
        <v>12.703333333333333</v>
      </c>
      <c r="N129" s="46">
        <f>E129*$H129/'Parameters | Agora'!$B$19*$J129</f>
        <v>102.86000000000001</v>
      </c>
      <c r="O129" s="46">
        <f>F129*$H129/'Parameters | Agora'!$B$19*$J129</f>
        <v>34.78</v>
      </c>
      <c r="P129" s="46">
        <f>G129*$H129/'Parameters | Agora'!$B$19*$J129</f>
        <v>76.22</v>
      </c>
    </row>
    <row r="130" spans="1:16">
      <c r="A130" s="43" t="s">
        <v>518</v>
      </c>
      <c r="B130" s="43" t="s">
        <v>519</v>
      </c>
      <c r="C130" s="43" t="s">
        <v>119</v>
      </c>
      <c r="D130" s="43" t="s">
        <v>319</v>
      </c>
      <c r="E130" s="44">
        <f>INDEX('Parameters | Agora'!$B$25:$D$33,MATCH($C130,'Parameters | Agora'!$A$25:$A$33,0),MATCH(E$1,'Parameters | Agora'!$B$24:$D$24,0))</f>
        <v>0.14399999999999999</v>
      </c>
      <c r="F130" s="44">
        <f>INDEX('Parameters | Agora'!$B$25:$D$33,MATCH($C130,'Parameters | Agora'!$A$25:$A$33,0),MATCH(F$1,'Parameters | Agora'!$B$24:$D$24,0))</f>
        <v>0.106</v>
      </c>
      <c r="G130" s="44">
        <f>INDEX('Parameters | Agora'!$B$25:$D$33,MATCH($C130,'Parameters | Agora'!$A$25:$A$33,0),MATCH(G$1,'Parameters | Agora'!$B$24:$D$24,0))</f>
        <v>0.21</v>
      </c>
      <c r="H130" s="42">
        <v>850</v>
      </c>
      <c r="I130" s="8">
        <f>'Parameters | Agora'!$B$22</f>
        <v>1080</v>
      </c>
      <c r="J130" s="15">
        <f>'Parameters | Agora'!$B$21</f>
        <v>20</v>
      </c>
      <c r="K130" s="45">
        <f t="shared" si="5"/>
        <v>2.2666666666666666</v>
      </c>
      <c r="L130" s="45">
        <f t="shared" ref="L130:L193" si="6">F130*$H130/$I130*$J130</f>
        <v>1.6685185185185183</v>
      </c>
      <c r="M130" s="45">
        <f t="shared" ref="M130:M193" si="7">G130*$H130/$I130*$J130</f>
        <v>3.3055555555555554</v>
      </c>
      <c r="N130" s="46">
        <f>E130*$H130/'Parameters | Agora'!$B$19*$J130</f>
        <v>13.599999999999998</v>
      </c>
      <c r="O130" s="46">
        <f>F130*$H130/'Parameters | Agora'!$B$19*$J130</f>
        <v>10.011111111111111</v>
      </c>
      <c r="P130" s="46">
        <f>G130*$H130/'Parameters | Agora'!$B$19*$J130</f>
        <v>19.833333333333336</v>
      </c>
    </row>
    <row r="131" spans="1:16">
      <c r="A131" s="43" t="s">
        <v>520</v>
      </c>
      <c r="B131" s="43" t="s">
        <v>521</v>
      </c>
      <c r="C131" s="43" t="s">
        <v>117</v>
      </c>
      <c r="D131" s="43" t="s">
        <v>121</v>
      </c>
      <c r="E131" s="44">
        <f>INDEX('Parameters | Agora'!$B$25:$D$33,MATCH($C131,'Parameters | Agora'!$A$25:$A$33,0),MATCH(E$1,'Parameters | Agora'!$B$24:$D$24,0))</f>
        <v>0.16</v>
      </c>
      <c r="F131" s="44">
        <f>INDEX('Parameters | Agora'!$B$25:$D$33,MATCH($C131,'Parameters | Agora'!$A$25:$A$33,0),MATCH(F$1,'Parameters | Agora'!$B$24:$D$24,0))</f>
        <v>4.4999999999999998E-2</v>
      </c>
      <c r="G131" s="44">
        <f>INDEX('Parameters | Agora'!$B$25:$D$33,MATCH($C131,'Parameters | Agora'!$A$25:$A$33,0),MATCH(G$1,'Parameters | Agora'!$B$24:$D$24,0))</f>
        <v>0.105</v>
      </c>
      <c r="H131" s="42">
        <v>32860</v>
      </c>
      <c r="I131" s="8">
        <f>'Parameters | Agora'!$B$22</f>
        <v>1080</v>
      </c>
      <c r="J131" s="15">
        <f>'Parameters | Agora'!$B$21</f>
        <v>20</v>
      </c>
      <c r="K131" s="45">
        <f t="shared" ref="K131:K194" si="8">E131*$H131/$I131*$J131</f>
        <v>97.362962962962968</v>
      </c>
      <c r="L131" s="45">
        <f t="shared" si="6"/>
        <v>27.383333333333333</v>
      </c>
      <c r="M131" s="45">
        <f t="shared" si="7"/>
        <v>63.894444444444439</v>
      </c>
      <c r="N131" s="46">
        <f>E131*$H131/'Parameters | Agora'!$B$19*$J131</f>
        <v>584.17777777777781</v>
      </c>
      <c r="O131" s="46">
        <f>F131*$H131/'Parameters | Agora'!$B$19*$J131</f>
        <v>164.3</v>
      </c>
      <c r="P131" s="46">
        <f>G131*$H131/'Parameters | Agora'!$B$19*$J131</f>
        <v>383.36666666666667</v>
      </c>
    </row>
    <row r="132" spans="1:16">
      <c r="A132" s="43" t="s">
        <v>540</v>
      </c>
      <c r="B132" s="43" t="s">
        <v>541</v>
      </c>
      <c r="C132" s="43" t="s">
        <v>114</v>
      </c>
      <c r="D132" s="43" t="s">
        <v>325</v>
      </c>
      <c r="E132" s="44">
        <f>INDEX('Parameters | Agora'!$B$25:$D$33,MATCH($C132,'Parameters | Agora'!$A$25:$A$33,0),MATCH(E$1,'Parameters | Agora'!$B$24:$D$24,0))</f>
        <v>0.13600000000000001</v>
      </c>
      <c r="F132" s="44">
        <f>INDEX('Parameters | Agora'!$B$25:$D$33,MATCH($C132,'Parameters | Agora'!$A$25:$A$33,0),MATCH(F$1,'Parameters | Agora'!$B$24:$D$24,0))</f>
        <v>5.2999999999999999E-2</v>
      </c>
      <c r="G132" s="44">
        <f>INDEX('Parameters | Agora'!$B$25:$D$33,MATCH($C132,'Parameters | Agora'!$A$25:$A$33,0),MATCH(G$1,'Parameters | Agora'!$B$24:$D$24,0))</f>
        <v>0.14799999999999999</v>
      </c>
      <c r="H132" s="42">
        <v>1270</v>
      </c>
      <c r="I132" s="8">
        <f>'Parameters | Agora'!$B$22</f>
        <v>1080</v>
      </c>
      <c r="J132" s="15">
        <f>'Parameters | Agora'!$B$21</f>
        <v>20</v>
      </c>
      <c r="K132" s="45">
        <f t="shared" si="8"/>
        <v>3.1985185185185183</v>
      </c>
      <c r="L132" s="45">
        <f t="shared" si="6"/>
        <v>1.2464814814814815</v>
      </c>
      <c r="M132" s="45">
        <f t="shared" si="7"/>
        <v>3.4807407407407402</v>
      </c>
      <c r="N132" s="46">
        <f>E132*$H132/'Parameters | Agora'!$B$19*$J132</f>
        <v>19.191111111111109</v>
      </c>
      <c r="O132" s="46">
        <f>F132*$H132/'Parameters | Agora'!$B$19*$J132</f>
        <v>7.4788888888888891</v>
      </c>
      <c r="P132" s="46">
        <f>G132*$H132/'Parameters | Agora'!$B$19*$J132</f>
        <v>20.884444444444444</v>
      </c>
    </row>
    <row r="133" spans="1:16">
      <c r="A133" s="43" t="s">
        <v>534</v>
      </c>
      <c r="B133" s="43" t="s">
        <v>535</v>
      </c>
      <c r="C133" s="43" t="s">
        <v>115</v>
      </c>
      <c r="D133" s="43" t="s">
        <v>322</v>
      </c>
      <c r="E133" s="44">
        <f>INDEX('Parameters | Agora'!$B$25:$D$33,MATCH($C133,'Parameters | Agora'!$A$25:$A$33,0),MATCH(E$1,'Parameters | Agora'!$B$24:$D$24,0))</f>
        <v>0.13900000000000001</v>
      </c>
      <c r="F133" s="44">
        <f>INDEX('Parameters | Agora'!$B$25:$D$33,MATCH($C133,'Parameters | Agora'!$A$25:$A$33,0),MATCH(F$1,'Parameters | Agora'!$B$24:$D$24,0))</f>
        <v>4.7E-2</v>
      </c>
      <c r="G133" s="44">
        <f>INDEX('Parameters | Agora'!$B$25:$D$33,MATCH($C133,'Parameters | Agora'!$A$25:$A$33,0),MATCH(G$1,'Parameters | Agora'!$B$24:$D$24,0))</f>
        <v>0.10299999999999999</v>
      </c>
      <c r="H133" s="42">
        <v>10480</v>
      </c>
      <c r="I133" s="8">
        <f>'Parameters | Agora'!$B$22</f>
        <v>1080</v>
      </c>
      <c r="J133" s="15">
        <f>'Parameters | Agora'!$B$21</f>
        <v>20</v>
      </c>
      <c r="K133" s="45">
        <f t="shared" si="8"/>
        <v>26.976296296296297</v>
      </c>
      <c r="L133" s="45">
        <f t="shared" si="6"/>
        <v>9.1214814814814815</v>
      </c>
      <c r="M133" s="45">
        <f t="shared" si="7"/>
        <v>19.989629629629626</v>
      </c>
      <c r="N133" s="46">
        <f>E133*$H133/'Parameters | Agora'!$B$19*$J133</f>
        <v>161.85777777777781</v>
      </c>
      <c r="O133" s="46">
        <f>F133*$H133/'Parameters | Agora'!$B$19*$J133</f>
        <v>54.728888888888889</v>
      </c>
      <c r="P133" s="46">
        <f>G133*$H133/'Parameters | Agora'!$B$19*$J133</f>
        <v>119.93777777777777</v>
      </c>
    </row>
    <row r="134" spans="1:16">
      <c r="A134" s="43" t="s">
        <v>532</v>
      </c>
      <c r="B134" s="43" t="s">
        <v>533</v>
      </c>
      <c r="C134" s="43" t="s">
        <v>114</v>
      </c>
      <c r="D134" s="43" t="s">
        <v>325</v>
      </c>
      <c r="E134" s="44">
        <f>INDEX('Parameters | Agora'!$B$25:$D$33,MATCH($C134,'Parameters | Agora'!$A$25:$A$33,0),MATCH(E$1,'Parameters | Agora'!$B$24:$D$24,0))</f>
        <v>0.13600000000000001</v>
      </c>
      <c r="F134" s="44">
        <f>INDEX('Parameters | Agora'!$B$25:$D$33,MATCH($C134,'Parameters | Agora'!$A$25:$A$33,0),MATCH(F$1,'Parameters | Agora'!$B$24:$D$24,0))</f>
        <v>5.2999999999999999E-2</v>
      </c>
      <c r="G134" s="44">
        <f>INDEX('Parameters | Agora'!$B$25:$D$33,MATCH($C134,'Parameters | Agora'!$A$25:$A$33,0),MATCH(G$1,'Parameters | Agora'!$B$24:$D$24,0))</f>
        <v>0.14799999999999999</v>
      </c>
      <c r="H134" s="42">
        <v>4260</v>
      </c>
      <c r="I134" s="8">
        <f>'Parameters | Agora'!$B$22</f>
        <v>1080</v>
      </c>
      <c r="J134" s="15">
        <f>'Parameters | Agora'!$B$21</f>
        <v>20</v>
      </c>
      <c r="K134" s="45">
        <f t="shared" si="8"/>
        <v>10.728888888888889</v>
      </c>
      <c r="L134" s="45">
        <f t="shared" si="6"/>
        <v>4.181111111111111</v>
      </c>
      <c r="M134" s="45">
        <f t="shared" si="7"/>
        <v>11.675555555555556</v>
      </c>
      <c r="N134" s="46">
        <f>E134*$H134/'Parameters | Agora'!$B$19*$J134</f>
        <v>64.373333333333335</v>
      </c>
      <c r="O134" s="46">
        <f>F134*$H134/'Parameters | Agora'!$B$19*$J134</f>
        <v>25.086666666666666</v>
      </c>
      <c r="P134" s="46">
        <f>G134*$H134/'Parameters | Agora'!$B$19*$J134</f>
        <v>70.053333333333342</v>
      </c>
    </row>
    <row r="135" spans="1:16">
      <c r="A135" s="43" t="s">
        <v>761</v>
      </c>
      <c r="B135" s="43" t="s">
        <v>762</v>
      </c>
      <c r="C135" s="43" t="s">
        <v>114</v>
      </c>
      <c r="D135" s="43" t="s">
        <v>121</v>
      </c>
      <c r="E135" s="44">
        <f>INDEX('Parameters | Agora'!$B$25:$D$33,MATCH($C135,'Parameters | Agora'!$A$25:$A$33,0),MATCH(E$1,'Parameters | Agora'!$B$24:$D$24,0))</f>
        <v>0.13600000000000001</v>
      </c>
      <c r="F135" s="44">
        <f>INDEX('Parameters | Agora'!$B$25:$D$33,MATCH($C135,'Parameters | Agora'!$A$25:$A$33,0),MATCH(F$1,'Parameters | Agora'!$B$24:$D$24,0))</f>
        <v>5.2999999999999999E-2</v>
      </c>
      <c r="G135" s="44">
        <f>INDEX('Parameters | Agora'!$B$25:$D$33,MATCH($C135,'Parameters | Agora'!$A$25:$A$33,0),MATCH(G$1,'Parameters | Agora'!$B$24:$D$24,0))</f>
        <v>0.14799999999999999</v>
      </c>
      <c r="H135" s="42">
        <v>47870.392999999989</v>
      </c>
      <c r="I135" s="8">
        <f>'Parameters | Agora'!$B$22</f>
        <v>1080</v>
      </c>
      <c r="J135" s="15">
        <f>'Parameters | Agora'!$B$21</f>
        <v>20</v>
      </c>
      <c r="K135" s="45">
        <f t="shared" si="8"/>
        <v>120.56247125925924</v>
      </c>
      <c r="L135" s="45">
        <f t="shared" si="6"/>
        <v>46.983904240740728</v>
      </c>
      <c r="M135" s="45">
        <f t="shared" si="7"/>
        <v>131.20033637037034</v>
      </c>
      <c r="N135" s="46">
        <f>E135*$H135/'Parameters | Agora'!$B$19*$J135</f>
        <v>723.37482755555561</v>
      </c>
      <c r="O135" s="46">
        <f>F135*$H135/'Parameters | Agora'!$B$19*$J135</f>
        <v>281.90342544444439</v>
      </c>
      <c r="P135" s="46">
        <f>G135*$H135/'Parameters | Agora'!$B$19*$J135</f>
        <v>787.20201822222202</v>
      </c>
    </row>
    <row r="136" spans="1:16">
      <c r="A136" s="43" t="s">
        <v>538</v>
      </c>
      <c r="B136" s="43" t="s">
        <v>539</v>
      </c>
      <c r="C136" s="43" t="s">
        <v>119</v>
      </c>
      <c r="D136" s="43" t="s">
        <v>319</v>
      </c>
      <c r="E136" s="44">
        <f>INDEX('Parameters | Agora'!$B$25:$D$33,MATCH($C136,'Parameters | Agora'!$A$25:$A$33,0),MATCH(E$1,'Parameters | Agora'!$B$24:$D$24,0))</f>
        <v>0.14399999999999999</v>
      </c>
      <c r="F136" s="44">
        <f>INDEX('Parameters | Agora'!$B$25:$D$33,MATCH($C136,'Parameters | Agora'!$A$25:$A$33,0),MATCH(F$1,'Parameters | Agora'!$B$24:$D$24,0))</f>
        <v>0.106</v>
      </c>
      <c r="G136" s="44">
        <f>INDEX('Parameters | Agora'!$B$25:$D$33,MATCH($C136,'Parameters | Agora'!$A$25:$A$33,0),MATCH(G$1,'Parameters | Agora'!$B$24:$D$24,0))</f>
        <v>0.21</v>
      </c>
      <c r="H136" s="42">
        <v>440</v>
      </c>
      <c r="I136" s="8">
        <f>'Parameters | Agora'!$B$22</f>
        <v>1080</v>
      </c>
      <c r="J136" s="15">
        <f>'Parameters | Agora'!$B$21</f>
        <v>20</v>
      </c>
      <c r="K136" s="45">
        <f t="shared" si="8"/>
        <v>1.1733333333333331</v>
      </c>
      <c r="L136" s="45">
        <f t="shared" si="6"/>
        <v>0.86370370370370375</v>
      </c>
      <c r="M136" s="45">
        <f t="shared" si="7"/>
        <v>1.711111111111111</v>
      </c>
      <c r="N136" s="46">
        <f>E136*$H136/'Parameters | Agora'!$B$19*$J136</f>
        <v>7.0399999999999991</v>
      </c>
      <c r="O136" s="46">
        <f>F136*$H136/'Parameters | Agora'!$B$19*$J136</f>
        <v>5.1822222222222223</v>
      </c>
      <c r="P136" s="46">
        <f>G136*$H136/'Parameters | Agora'!$B$19*$J136</f>
        <v>10.266666666666666</v>
      </c>
    </row>
    <row r="137" spans="1:16">
      <c r="A137" s="43" t="s">
        <v>522</v>
      </c>
      <c r="B137" s="43" t="s">
        <v>523</v>
      </c>
      <c r="C137" s="43" t="s">
        <v>119</v>
      </c>
      <c r="D137" s="43" t="s">
        <v>325</v>
      </c>
      <c r="E137" s="44">
        <f>INDEX('Parameters | Agora'!$B$25:$D$33,MATCH($C137,'Parameters | Agora'!$A$25:$A$33,0),MATCH(E$1,'Parameters | Agora'!$B$24:$D$24,0))</f>
        <v>0.14399999999999999</v>
      </c>
      <c r="F137" s="44">
        <f>INDEX('Parameters | Agora'!$B$25:$D$33,MATCH($C137,'Parameters | Agora'!$A$25:$A$33,0),MATCH(F$1,'Parameters | Agora'!$B$24:$D$24,0))</f>
        <v>0.106</v>
      </c>
      <c r="G137" s="44">
        <f>INDEX('Parameters | Agora'!$B$25:$D$33,MATCH($C137,'Parameters | Agora'!$A$25:$A$33,0),MATCH(G$1,'Parameters | Agora'!$B$24:$D$24,0))</f>
        <v>0.21</v>
      </c>
      <c r="H137" s="42">
        <v>2080</v>
      </c>
      <c r="I137" s="8">
        <f>'Parameters | Agora'!$B$22</f>
        <v>1080</v>
      </c>
      <c r="J137" s="15">
        <f>'Parameters | Agora'!$B$21</f>
        <v>20</v>
      </c>
      <c r="K137" s="45">
        <f t="shared" si="8"/>
        <v>5.5466666666666669</v>
      </c>
      <c r="L137" s="45">
        <f t="shared" si="6"/>
        <v>4.0829629629629629</v>
      </c>
      <c r="M137" s="45">
        <f t="shared" si="7"/>
        <v>8.0888888888888886</v>
      </c>
      <c r="N137" s="46">
        <f>E137*$H137/'Parameters | Agora'!$B$19*$J137</f>
        <v>33.28</v>
      </c>
      <c r="O137" s="46">
        <f>F137*$H137/'Parameters | Agora'!$B$19*$J137</f>
        <v>24.497777777777777</v>
      </c>
      <c r="P137" s="46">
        <f>G137*$H137/'Parameters | Agora'!$B$19*$J137</f>
        <v>48.533333333333331</v>
      </c>
    </row>
    <row r="138" spans="1:16">
      <c r="A138" s="43" t="s">
        <v>524</v>
      </c>
      <c r="B138" s="43" t="s">
        <v>525</v>
      </c>
      <c r="C138" s="43" t="s">
        <v>119</v>
      </c>
      <c r="D138" s="43" t="s">
        <v>322</v>
      </c>
      <c r="E138" s="44">
        <f>INDEX('Parameters | Agora'!$B$25:$D$33,MATCH($C138,'Parameters | Agora'!$A$25:$A$33,0),MATCH(E$1,'Parameters | Agora'!$B$24:$D$24,0))</f>
        <v>0.14399999999999999</v>
      </c>
      <c r="F138" s="44">
        <f>INDEX('Parameters | Agora'!$B$25:$D$33,MATCH($C138,'Parameters | Agora'!$A$25:$A$33,0),MATCH(F$1,'Parameters | Agora'!$B$24:$D$24,0))</f>
        <v>0.106</v>
      </c>
      <c r="G138" s="44">
        <f>INDEX('Parameters | Agora'!$B$25:$D$33,MATCH($C138,'Parameters | Agora'!$A$25:$A$33,0),MATCH(G$1,'Parameters | Agora'!$B$24:$D$24,0))</f>
        <v>0.21</v>
      </c>
      <c r="H138" s="42">
        <v>10360</v>
      </c>
      <c r="I138" s="8">
        <f>'Parameters | Agora'!$B$22</f>
        <v>1080</v>
      </c>
      <c r="J138" s="15">
        <f>'Parameters | Agora'!$B$21</f>
        <v>20</v>
      </c>
      <c r="K138" s="45">
        <f t="shared" si="8"/>
        <v>27.626666666666665</v>
      </c>
      <c r="L138" s="45">
        <f t="shared" si="6"/>
        <v>20.336296296296297</v>
      </c>
      <c r="M138" s="45">
        <f t="shared" si="7"/>
        <v>40.288888888888891</v>
      </c>
      <c r="N138" s="46">
        <f>E138*$H138/'Parameters | Agora'!$B$19*$J138</f>
        <v>165.76</v>
      </c>
      <c r="O138" s="46">
        <f>F138*$H138/'Parameters | Agora'!$B$19*$J138</f>
        <v>122.01777777777778</v>
      </c>
      <c r="P138" s="46">
        <f>G138*$H138/'Parameters | Agora'!$B$19*$J138</f>
        <v>241.73333333333332</v>
      </c>
    </row>
    <row r="139" spans="1:16">
      <c r="A139" s="43" t="s">
        <v>512</v>
      </c>
      <c r="B139" s="43" t="s">
        <v>513</v>
      </c>
      <c r="C139" s="43" t="s">
        <v>119</v>
      </c>
      <c r="D139" s="43" t="s">
        <v>319</v>
      </c>
      <c r="E139" s="44">
        <f>INDEX('Parameters | Agora'!$B$25:$D$33,MATCH($C139,'Parameters | Agora'!$A$25:$A$33,0),MATCH(E$1,'Parameters | Agora'!$B$24:$D$24,0))</f>
        <v>0.14399999999999999</v>
      </c>
      <c r="F139" s="44">
        <f>INDEX('Parameters | Agora'!$B$25:$D$33,MATCH($C139,'Parameters | Agora'!$A$25:$A$33,0),MATCH(F$1,'Parameters | Agora'!$B$24:$D$24,0))</f>
        <v>0.106</v>
      </c>
      <c r="G139" s="44">
        <f>INDEX('Parameters | Agora'!$B$25:$D$33,MATCH($C139,'Parameters | Agora'!$A$25:$A$33,0),MATCH(G$1,'Parameters | Agora'!$B$24:$D$24,0))</f>
        <v>0.21</v>
      </c>
      <c r="H139" s="42">
        <v>640</v>
      </c>
      <c r="I139" s="8">
        <f>'Parameters | Agora'!$B$22</f>
        <v>1080</v>
      </c>
      <c r="J139" s="15">
        <f>'Parameters | Agora'!$B$21</f>
        <v>20</v>
      </c>
      <c r="K139" s="45">
        <f t="shared" si="8"/>
        <v>1.7066666666666666</v>
      </c>
      <c r="L139" s="45">
        <f t="shared" si="6"/>
        <v>1.2562962962962965</v>
      </c>
      <c r="M139" s="45">
        <f t="shared" si="7"/>
        <v>2.4888888888888889</v>
      </c>
      <c r="N139" s="46">
        <f>E139*$H139/'Parameters | Agora'!$B$19*$J139</f>
        <v>10.24</v>
      </c>
      <c r="O139" s="46">
        <f>F139*$H139/'Parameters | Agora'!$B$19*$J139</f>
        <v>7.5377777777777775</v>
      </c>
      <c r="P139" s="46">
        <f>G139*$H139/'Parameters | Agora'!$B$19*$J139</f>
        <v>14.933333333333334</v>
      </c>
    </row>
    <row r="140" spans="1:16">
      <c r="A140" s="43" t="s">
        <v>514</v>
      </c>
      <c r="B140" s="43" t="s">
        <v>515</v>
      </c>
      <c r="C140" s="43" t="s">
        <v>114</v>
      </c>
      <c r="D140" s="43" t="s">
        <v>322</v>
      </c>
      <c r="E140" s="44">
        <f>INDEX('Parameters | Agora'!$B$25:$D$33,MATCH($C140,'Parameters | Agora'!$A$25:$A$33,0),MATCH(E$1,'Parameters | Agora'!$B$24:$D$24,0))</f>
        <v>0.13600000000000001</v>
      </c>
      <c r="F140" s="44">
        <f>INDEX('Parameters | Agora'!$B$25:$D$33,MATCH($C140,'Parameters | Agora'!$A$25:$A$33,0),MATCH(F$1,'Parameters | Agora'!$B$24:$D$24,0))</f>
        <v>5.2999999999999999E-2</v>
      </c>
      <c r="G140" s="44">
        <f>INDEX('Parameters | Agora'!$B$25:$D$33,MATCH($C140,'Parameters | Agora'!$A$25:$A$33,0),MATCH(G$1,'Parameters | Agora'!$B$24:$D$24,0))</f>
        <v>0.14799999999999999</v>
      </c>
      <c r="H140" s="42">
        <v>11830</v>
      </c>
      <c r="I140" s="8">
        <f>'Parameters | Agora'!$B$22</f>
        <v>1080</v>
      </c>
      <c r="J140" s="15">
        <f>'Parameters | Agora'!$B$21</f>
        <v>20</v>
      </c>
      <c r="K140" s="45">
        <f t="shared" si="8"/>
        <v>29.794074074074075</v>
      </c>
      <c r="L140" s="45">
        <f t="shared" si="6"/>
        <v>11.610925925925926</v>
      </c>
      <c r="M140" s="45">
        <f t="shared" si="7"/>
        <v>32.422962962962963</v>
      </c>
      <c r="N140" s="46">
        <f>E140*$H140/'Parameters | Agora'!$B$19*$J140</f>
        <v>178.76444444444445</v>
      </c>
      <c r="O140" s="46">
        <f>F140*$H140/'Parameters | Agora'!$B$19*$J140</f>
        <v>69.665555555555557</v>
      </c>
      <c r="P140" s="46">
        <f>G140*$H140/'Parameters | Agora'!$B$19*$J140</f>
        <v>194.53777777777776</v>
      </c>
    </row>
    <row r="141" spans="1:16">
      <c r="A141" s="43" t="s">
        <v>542</v>
      </c>
      <c r="B141" s="43" t="s">
        <v>543</v>
      </c>
      <c r="C141" s="43" t="s">
        <v>119</v>
      </c>
      <c r="D141" s="43" t="s">
        <v>322</v>
      </c>
      <c r="E141" s="44">
        <f>INDEX('Parameters | Agora'!$B$25:$D$33,MATCH($C141,'Parameters | Agora'!$A$25:$A$33,0),MATCH(E$1,'Parameters | Agora'!$B$24:$D$24,0))</f>
        <v>0.14399999999999999</v>
      </c>
      <c r="F141" s="44">
        <f>INDEX('Parameters | Agora'!$B$25:$D$33,MATCH($C141,'Parameters | Agora'!$A$25:$A$33,0),MATCH(F$1,'Parameters | Agora'!$B$24:$D$24,0))</f>
        <v>0.106</v>
      </c>
      <c r="G141" s="44">
        <f>INDEX('Parameters | Agora'!$B$25:$D$33,MATCH($C141,'Parameters | Agora'!$A$25:$A$33,0),MATCH(G$1,'Parameters | Agora'!$B$24:$D$24,0))</f>
        <v>0.21</v>
      </c>
      <c r="H141" s="42">
        <v>5010</v>
      </c>
      <c r="I141" s="8">
        <f>'Parameters | Agora'!$B$22</f>
        <v>1080</v>
      </c>
      <c r="J141" s="15">
        <f>'Parameters | Agora'!$B$21</f>
        <v>20</v>
      </c>
      <c r="K141" s="45">
        <f t="shared" si="8"/>
        <v>13.36</v>
      </c>
      <c r="L141" s="45">
        <f t="shared" si="6"/>
        <v>9.8344444444444434</v>
      </c>
      <c r="M141" s="45">
        <f t="shared" si="7"/>
        <v>19.483333333333334</v>
      </c>
      <c r="N141" s="46">
        <f>E141*$H141/'Parameters | Agora'!$B$19*$J141</f>
        <v>80.16</v>
      </c>
      <c r="O141" s="46">
        <f>F141*$H141/'Parameters | Agora'!$B$19*$J141</f>
        <v>59.006666666666661</v>
      </c>
      <c r="P141" s="46">
        <f>G141*$H141/'Parameters | Agora'!$B$19*$J141</f>
        <v>116.89999999999999</v>
      </c>
    </row>
    <row r="142" spans="1:16">
      <c r="A142" s="43" t="s">
        <v>708</v>
      </c>
      <c r="B142" s="43" t="s">
        <v>709</v>
      </c>
      <c r="C142" s="43" t="s">
        <v>114</v>
      </c>
      <c r="D142" s="43" t="s">
        <v>121</v>
      </c>
      <c r="E142" s="44">
        <f>INDEX('Parameters | Agora'!$B$25:$D$33,MATCH($C142,'Parameters | Agora'!$A$25:$A$33,0),MATCH(E$1,'Parameters | Agora'!$B$24:$D$24,0))</f>
        <v>0.13600000000000001</v>
      </c>
      <c r="F142" s="44">
        <f>INDEX('Parameters | Agora'!$B$25:$D$33,MATCH($C142,'Parameters | Agora'!$A$25:$A$33,0),MATCH(F$1,'Parameters | Agora'!$B$24:$D$24,0))</f>
        <v>5.2999999999999999E-2</v>
      </c>
      <c r="G142" s="44">
        <f>INDEX('Parameters | Agora'!$B$25:$D$33,MATCH($C142,'Parameters | Agora'!$A$25:$A$33,0),MATCH(G$1,'Parameters | Agora'!$B$24:$D$24,0))</f>
        <v>0.14799999999999999</v>
      </c>
      <c r="H142" s="42">
        <v>37370</v>
      </c>
      <c r="I142" s="8">
        <f>'Parameters | Agora'!$B$22</f>
        <v>1080</v>
      </c>
      <c r="J142" s="15">
        <f>'Parameters | Agora'!$B$21</f>
        <v>20</v>
      </c>
      <c r="K142" s="45">
        <f t="shared" si="8"/>
        <v>94.117037037037051</v>
      </c>
      <c r="L142" s="45">
        <f t="shared" si="6"/>
        <v>36.677962962962958</v>
      </c>
      <c r="M142" s="45">
        <f t="shared" si="7"/>
        <v>102.42148148148146</v>
      </c>
      <c r="N142" s="46">
        <f>E142*$H142/'Parameters | Agora'!$B$19*$J142</f>
        <v>564.7022222222223</v>
      </c>
      <c r="O142" s="46">
        <f>F142*$H142/'Parameters | Agora'!$B$19*$J142</f>
        <v>220.06777777777779</v>
      </c>
      <c r="P142" s="46">
        <f>G142*$H142/'Parameters | Agora'!$B$19*$J142</f>
        <v>614.52888888888879</v>
      </c>
    </row>
    <row r="143" spans="1:16">
      <c r="A143" s="43" t="s">
        <v>552</v>
      </c>
      <c r="B143" s="43" t="s">
        <v>553</v>
      </c>
      <c r="C143" s="43" t="s">
        <v>119</v>
      </c>
      <c r="D143" s="43" t="s">
        <v>319</v>
      </c>
      <c r="E143" s="44">
        <f>INDEX('Parameters | Agora'!$B$25:$D$33,MATCH($C143,'Parameters | Agora'!$A$25:$A$33,0),MATCH(E$1,'Parameters | Agora'!$B$24:$D$24,0))</f>
        <v>0.14399999999999999</v>
      </c>
      <c r="F143" s="44">
        <f>INDEX('Parameters | Agora'!$B$25:$D$33,MATCH($C143,'Parameters | Agora'!$A$25:$A$33,0),MATCH(F$1,'Parameters | Agora'!$B$24:$D$24,0))</f>
        <v>0.106</v>
      </c>
      <c r="G143" s="44">
        <f>INDEX('Parameters | Agora'!$B$25:$D$33,MATCH($C143,'Parameters | Agora'!$A$25:$A$33,0),MATCH(G$1,'Parameters | Agora'!$B$24:$D$24,0))</f>
        <v>0.21</v>
      </c>
      <c r="H143" s="42">
        <v>580</v>
      </c>
      <c r="I143" s="8">
        <f>'Parameters | Agora'!$B$22</f>
        <v>1080</v>
      </c>
      <c r="J143" s="15">
        <f>'Parameters | Agora'!$B$21</f>
        <v>20</v>
      </c>
      <c r="K143" s="45">
        <f t="shared" si="8"/>
        <v>1.5466666666666664</v>
      </c>
      <c r="L143" s="45">
        <f t="shared" si="6"/>
        <v>1.1385185185185185</v>
      </c>
      <c r="M143" s="45">
        <f t="shared" si="7"/>
        <v>2.2555555555555555</v>
      </c>
      <c r="N143" s="46">
        <f>E143*$H143/'Parameters | Agora'!$B$19*$J143</f>
        <v>9.2799999999999994</v>
      </c>
      <c r="O143" s="46">
        <f>F143*$H143/'Parameters | Agora'!$B$19*$J143</f>
        <v>6.8311111111111114</v>
      </c>
      <c r="P143" s="46">
        <f>G143*$H143/'Parameters | Agora'!$B$19*$J143</f>
        <v>13.533333333333333</v>
      </c>
    </row>
    <row r="144" spans="1:16">
      <c r="A144" s="43" t="s">
        <v>554</v>
      </c>
      <c r="B144" s="43" t="s">
        <v>555</v>
      </c>
      <c r="C144" s="43" t="s">
        <v>119</v>
      </c>
      <c r="D144" s="43" t="s">
        <v>325</v>
      </c>
      <c r="E144" s="44">
        <f>INDEX('Parameters | Agora'!$B$25:$D$33,MATCH($C144,'Parameters | Agora'!$A$25:$A$33,0),MATCH(E$1,'Parameters | Agora'!$B$24:$D$24,0))</f>
        <v>0.14399999999999999</v>
      </c>
      <c r="F144" s="44">
        <f>INDEX('Parameters | Agora'!$B$25:$D$33,MATCH($C144,'Parameters | Agora'!$A$25:$A$33,0),MATCH(F$1,'Parameters | Agora'!$B$24:$D$24,0))</f>
        <v>0.106</v>
      </c>
      <c r="G144" s="44">
        <f>INDEX('Parameters | Agora'!$B$25:$D$33,MATCH($C144,'Parameters | Agora'!$A$25:$A$33,0),MATCH(G$1,'Parameters | Agora'!$B$24:$D$24,0))</f>
        <v>0.21</v>
      </c>
      <c r="H144" s="42">
        <v>2160</v>
      </c>
      <c r="I144" s="8">
        <f>'Parameters | Agora'!$B$22</f>
        <v>1080</v>
      </c>
      <c r="J144" s="15">
        <f>'Parameters | Agora'!$B$21</f>
        <v>20</v>
      </c>
      <c r="K144" s="45">
        <f t="shared" si="8"/>
        <v>5.76</v>
      </c>
      <c r="L144" s="45">
        <f t="shared" si="6"/>
        <v>4.24</v>
      </c>
      <c r="M144" s="45">
        <f t="shared" si="7"/>
        <v>8.4</v>
      </c>
      <c r="N144" s="46">
        <f>E144*$H144/'Parameters | Agora'!$B$19*$J144</f>
        <v>34.559999999999995</v>
      </c>
      <c r="O144" s="46">
        <f>F144*$H144/'Parameters | Agora'!$B$19*$J144</f>
        <v>25.439999999999998</v>
      </c>
      <c r="P144" s="46">
        <f>G144*$H144/'Parameters | Agora'!$B$19*$J144</f>
        <v>50.4</v>
      </c>
    </row>
    <row r="145" spans="1:16">
      <c r="A145" s="43" t="s">
        <v>550</v>
      </c>
      <c r="B145" s="43" t="s">
        <v>551</v>
      </c>
      <c r="C145" s="43" t="s">
        <v>116</v>
      </c>
      <c r="D145" s="43" t="s">
        <v>325</v>
      </c>
      <c r="E145" s="44">
        <f>INDEX('Parameters | Agora'!$B$25:$D$33,MATCH($C145,'Parameters | Agora'!$A$25:$A$33,0),MATCH(E$1,'Parameters | Agora'!$B$24:$D$24,0))</f>
        <v>7.8E-2</v>
      </c>
      <c r="F145" s="44">
        <f>INDEX('Parameters | Agora'!$B$25:$D$33,MATCH($C145,'Parameters | Agora'!$A$25:$A$33,0),MATCH(F$1,'Parameters | Agora'!$B$24:$D$24,0))</f>
        <v>5.3999999999999999E-2</v>
      </c>
      <c r="G145" s="44">
        <f>INDEX('Parameters | Agora'!$B$25:$D$33,MATCH($C145,'Parameters | Agora'!$A$25:$A$33,0),MATCH(G$1,'Parameters | Agora'!$B$24:$D$24,0))</f>
        <v>0.159</v>
      </c>
      <c r="H145" s="42">
        <v>2090</v>
      </c>
      <c r="I145" s="8">
        <f>'Parameters | Agora'!$B$22</f>
        <v>1080</v>
      </c>
      <c r="J145" s="15">
        <f>'Parameters | Agora'!$B$21</f>
        <v>20</v>
      </c>
      <c r="K145" s="45">
        <f t="shared" si="8"/>
        <v>3.0188888888888892</v>
      </c>
      <c r="L145" s="45">
        <f t="shared" si="6"/>
        <v>2.09</v>
      </c>
      <c r="M145" s="45">
        <f t="shared" si="7"/>
        <v>6.153888888888889</v>
      </c>
      <c r="N145" s="46">
        <f>E145*$H145/'Parameters | Agora'!$B$19*$J145</f>
        <v>18.113333333333333</v>
      </c>
      <c r="O145" s="46">
        <f>F145*$H145/'Parameters | Agora'!$B$19*$J145</f>
        <v>12.54</v>
      </c>
      <c r="P145" s="46">
        <f>G145*$H145/'Parameters | Agora'!$B$19*$J145</f>
        <v>36.923333333333332</v>
      </c>
    </row>
    <row r="146" spans="1:16">
      <c r="A146" s="43" t="s">
        <v>546</v>
      </c>
      <c r="B146" s="43" t="s">
        <v>547</v>
      </c>
      <c r="C146" s="43" t="s">
        <v>115</v>
      </c>
      <c r="D146" s="43" t="s">
        <v>121</v>
      </c>
      <c r="E146" s="44">
        <f>INDEX('Parameters | Agora'!$B$25:$D$33,MATCH($C146,'Parameters | Agora'!$A$25:$A$33,0),MATCH(E$1,'Parameters | Agora'!$B$24:$D$24,0))</f>
        <v>0.13900000000000001</v>
      </c>
      <c r="F146" s="44">
        <f>INDEX('Parameters | Agora'!$B$25:$D$33,MATCH($C146,'Parameters | Agora'!$A$25:$A$33,0),MATCH(F$1,'Parameters | Agora'!$B$24:$D$24,0))</f>
        <v>4.7E-2</v>
      </c>
      <c r="G146" s="44">
        <f>INDEX('Parameters | Agora'!$B$25:$D$33,MATCH($C146,'Parameters | Agora'!$A$25:$A$33,0),MATCH(G$1,'Parameters | Agora'!$B$24:$D$24,0))</f>
        <v>0.10299999999999999</v>
      </c>
      <c r="H146" s="42">
        <v>60230</v>
      </c>
      <c r="I146" s="8">
        <f>'Parameters | Agora'!$B$22</f>
        <v>1080</v>
      </c>
      <c r="J146" s="15">
        <f>'Parameters | Agora'!$B$21</f>
        <v>20</v>
      </c>
      <c r="K146" s="45">
        <f t="shared" si="8"/>
        <v>155.0364814814815</v>
      </c>
      <c r="L146" s="45">
        <f t="shared" si="6"/>
        <v>52.422407407407405</v>
      </c>
      <c r="M146" s="45">
        <f t="shared" si="7"/>
        <v>114.88314814814814</v>
      </c>
      <c r="N146" s="46">
        <f>E146*$H146/'Parameters | Agora'!$B$19*$J146</f>
        <v>930.21888888888896</v>
      </c>
      <c r="O146" s="46">
        <f>F146*$H146/'Parameters | Agora'!$B$19*$J146</f>
        <v>314.53444444444443</v>
      </c>
      <c r="P146" s="46">
        <f>G146*$H146/'Parameters | Agora'!$B$19*$J146</f>
        <v>689.29888888888877</v>
      </c>
    </row>
    <row r="147" spans="1:16">
      <c r="A147" s="43" t="s">
        <v>556</v>
      </c>
      <c r="B147" s="43" t="s">
        <v>557</v>
      </c>
      <c r="C147" s="43" t="s">
        <v>115</v>
      </c>
      <c r="D147" s="43" t="s">
        <v>121</v>
      </c>
      <c r="E147" s="44">
        <f>INDEX('Parameters | Agora'!$B$25:$D$33,MATCH($C147,'Parameters | Agora'!$A$25:$A$33,0),MATCH(E$1,'Parameters | Agora'!$B$24:$D$24,0))</f>
        <v>0.13900000000000001</v>
      </c>
      <c r="F147" s="44">
        <f>INDEX('Parameters | Agora'!$B$25:$D$33,MATCH($C147,'Parameters | Agora'!$A$25:$A$33,0),MATCH(F$1,'Parameters | Agora'!$B$24:$D$24,0))</f>
        <v>4.7E-2</v>
      </c>
      <c r="G147" s="44">
        <f>INDEX('Parameters | Agora'!$B$25:$D$33,MATCH($C147,'Parameters | Agora'!$A$25:$A$33,0),MATCH(G$1,'Parameters | Agora'!$B$24:$D$24,0))</f>
        <v>0.10299999999999999</v>
      </c>
      <c r="H147" s="42">
        <v>95520</v>
      </c>
      <c r="I147" s="8">
        <f>'Parameters | Agora'!$B$22</f>
        <v>1080</v>
      </c>
      <c r="J147" s="15">
        <f>'Parameters | Agora'!$B$21</f>
        <v>20</v>
      </c>
      <c r="K147" s="45">
        <f t="shared" si="8"/>
        <v>245.87555555555556</v>
      </c>
      <c r="L147" s="45">
        <f t="shared" si="6"/>
        <v>83.137777777777757</v>
      </c>
      <c r="M147" s="45">
        <f t="shared" si="7"/>
        <v>182.19555555555556</v>
      </c>
      <c r="N147" s="46">
        <f>E147*$H147/'Parameters | Agora'!$B$19*$J147</f>
        <v>1475.2533333333336</v>
      </c>
      <c r="O147" s="46">
        <f>F147*$H147/'Parameters | Agora'!$B$19*$J147</f>
        <v>498.82666666666665</v>
      </c>
      <c r="P147" s="46">
        <f>G147*$H147/'Parameters | Agora'!$B$19*$J147</f>
        <v>1093.1733333333332</v>
      </c>
    </row>
    <row r="148" spans="1:16">
      <c r="A148" s="43" t="s">
        <v>544</v>
      </c>
      <c r="B148" s="43" t="s">
        <v>545</v>
      </c>
      <c r="C148" s="43" t="s">
        <v>118</v>
      </c>
      <c r="D148" s="43" t="s">
        <v>325</v>
      </c>
      <c r="E148" s="44">
        <f>INDEX('Parameters | Agora'!$B$25:$D$33,MATCH($C148,'Parameters | Agora'!$A$25:$A$33,0),MATCH(E$1,'Parameters | Agora'!$B$24:$D$24,0))</f>
        <v>0.06</v>
      </c>
      <c r="F148" s="44">
        <f>INDEX('Parameters | Agora'!$B$25:$D$33,MATCH($C148,'Parameters | Agora'!$A$25:$A$33,0),MATCH(F$1,'Parameters | Agora'!$B$24:$D$24,0))</f>
        <v>0.05</v>
      </c>
      <c r="G148" s="44">
        <f>INDEX('Parameters | Agora'!$B$25:$D$33,MATCH($C148,'Parameters | Agora'!$A$25:$A$33,0),MATCH(G$1,'Parameters | Agora'!$B$24:$D$24,0))</f>
        <v>0.17299999999999999</v>
      </c>
      <c r="H148" s="42">
        <v>1340</v>
      </c>
      <c r="I148" s="8">
        <f>'Parameters | Agora'!$B$22</f>
        <v>1080</v>
      </c>
      <c r="J148" s="15">
        <f>'Parameters | Agora'!$B$21</f>
        <v>20</v>
      </c>
      <c r="K148" s="45">
        <f t="shared" si="8"/>
        <v>1.4888888888888887</v>
      </c>
      <c r="L148" s="45">
        <f t="shared" si="6"/>
        <v>1.2407407407407407</v>
      </c>
      <c r="M148" s="45">
        <f t="shared" si="7"/>
        <v>4.2929629629629629</v>
      </c>
      <c r="N148" s="46">
        <f>E148*$H148/'Parameters | Agora'!$B$19*$J148</f>
        <v>8.9333333333333318</v>
      </c>
      <c r="O148" s="46">
        <f>F148*$H148/'Parameters | Agora'!$B$19*$J148</f>
        <v>7.4444444444444446</v>
      </c>
      <c r="P148" s="46">
        <f>G148*$H148/'Parameters | Agora'!$B$19*$J148</f>
        <v>25.757777777777775</v>
      </c>
    </row>
    <row r="149" spans="1:16">
      <c r="A149" s="43" t="s">
        <v>764</v>
      </c>
      <c r="B149" s="43" t="s">
        <v>765</v>
      </c>
      <c r="C149" s="43" t="s">
        <v>114</v>
      </c>
      <c r="D149" s="43" t="s">
        <v>121</v>
      </c>
      <c r="E149" s="44">
        <f>INDEX('Parameters | Agora'!$B$25:$D$33,MATCH($C149,'Parameters | Agora'!$A$25:$A$33,0),MATCH(E$1,'Parameters | Agora'!$B$24:$D$24,0))</f>
        <v>0.13600000000000001</v>
      </c>
      <c r="F149" s="44">
        <f>INDEX('Parameters | Agora'!$B$25:$D$33,MATCH($C149,'Parameters | Agora'!$A$25:$A$33,0),MATCH(F$1,'Parameters | Agora'!$B$24:$D$24,0))</f>
        <v>5.2999999999999999E-2</v>
      </c>
      <c r="G149" s="44">
        <f>INDEX('Parameters | Agora'!$B$25:$D$33,MATCH($C149,'Parameters | Agora'!$A$25:$A$33,0),MATCH(G$1,'Parameters | Agora'!$B$24:$D$24,0))</f>
        <v>0.14799999999999999</v>
      </c>
      <c r="H149" s="42">
        <v>17800</v>
      </c>
      <c r="I149" s="8">
        <f>'Parameters | Agora'!$B$22</f>
        <v>1080</v>
      </c>
      <c r="J149" s="15">
        <f>'Parameters | Agora'!$B$21</f>
        <v>20</v>
      </c>
      <c r="K149" s="45">
        <f t="shared" si="8"/>
        <v>44.829629629629636</v>
      </c>
      <c r="L149" s="45">
        <f t="shared" si="6"/>
        <v>17.470370370370368</v>
      </c>
      <c r="M149" s="45">
        <f t="shared" si="7"/>
        <v>48.785185185185185</v>
      </c>
      <c r="N149" s="46">
        <f>E149*$H149/'Parameters | Agora'!$B$19*$J149</f>
        <v>268.97777777777782</v>
      </c>
      <c r="O149" s="46">
        <f>F149*$H149/'Parameters | Agora'!$B$19*$J149</f>
        <v>104.82222222222221</v>
      </c>
      <c r="P149" s="46">
        <f>G149*$H149/'Parameters | Agora'!$B$19*$J149</f>
        <v>292.71111111111111</v>
      </c>
    </row>
    <row r="150" spans="1:16">
      <c r="A150" s="43" t="s">
        <v>548</v>
      </c>
      <c r="B150" s="43" t="s">
        <v>549</v>
      </c>
      <c r="C150" s="43" t="s">
        <v>114</v>
      </c>
      <c r="D150" s="43" t="s">
        <v>121</v>
      </c>
      <c r="E150" s="44">
        <f>INDEX('Parameters | Agora'!$B$25:$D$33,MATCH($C150,'Parameters | Agora'!$A$25:$A$33,0),MATCH(E$1,'Parameters | Agora'!$B$24:$D$24,0))</f>
        <v>0.13600000000000001</v>
      </c>
      <c r="F150" s="44">
        <f>INDEX('Parameters | Agora'!$B$25:$D$33,MATCH($C150,'Parameters | Agora'!$A$25:$A$33,0),MATCH(F$1,'Parameters | Agora'!$B$24:$D$24,0))</f>
        <v>5.2999999999999999E-2</v>
      </c>
      <c r="G150" s="44">
        <f>INDEX('Parameters | Agora'!$B$25:$D$33,MATCH($C150,'Parameters | Agora'!$A$25:$A$33,0),MATCH(G$1,'Parameters | Agora'!$B$24:$D$24,0))</f>
        <v>0.14799999999999999</v>
      </c>
      <c r="H150" s="42">
        <v>49090</v>
      </c>
      <c r="I150" s="8">
        <f>'Parameters | Agora'!$B$22</f>
        <v>1080</v>
      </c>
      <c r="J150" s="15">
        <f>'Parameters | Agora'!$B$21</f>
        <v>20</v>
      </c>
      <c r="K150" s="45">
        <f t="shared" si="8"/>
        <v>123.63407407407408</v>
      </c>
      <c r="L150" s="45">
        <f t="shared" si="6"/>
        <v>48.180925925925926</v>
      </c>
      <c r="M150" s="45">
        <f t="shared" si="7"/>
        <v>134.54296296296295</v>
      </c>
      <c r="N150" s="46">
        <f>E150*$H150/'Parameters | Agora'!$B$19*$J150</f>
        <v>741.80444444444447</v>
      </c>
      <c r="O150" s="46">
        <f>F150*$H150/'Parameters | Agora'!$B$19*$J150</f>
        <v>289.08555555555557</v>
      </c>
      <c r="P150" s="46">
        <f>G150*$H150/'Parameters | Agora'!$B$19*$J150</f>
        <v>807.25777777777785</v>
      </c>
    </row>
    <row r="151" spans="1:16">
      <c r="A151" s="43" t="s">
        <v>710</v>
      </c>
      <c r="B151" s="43" t="s">
        <v>711</v>
      </c>
      <c r="C151" s="43" t="s">
        <v>117</v>
      </c>
      <c r="D151" s="43" t="s">
        <v>121</v>
      </c>
      <c r="E151" s="44">
        <f>INDEX('Parameters | Agora'!$B$25:$D$33,MATCH($C151,'Parameters | Agora'!$A$25:$A$33,0),MATCH(E$1,'Parameters | Agora'!$B$24:$D$24,0))</f>
        <v>0.16</v>
      </c>
      <c r="F151" s="44">
        <f>INDEX('Parameters | Agora'!$B$25:$D$33,MATCH($C151,'Parameters | Agora'!$A$25:$A$33,0),MATCH(F$1,'Parameters | Agora'!$B$24:$D$24,0))</f>
        <v>4.4999999999999998E-2</v>
      </c>
      <c r="G151" s="44">
        <f>INDEX('Parameters | Agora'!$B$25:$D$33,MATCH($C151,'Parameters | Agora'!$A$25:$A$33,0),MATCH(G$1,'Parameters | Agora'!$B$24:$D$24,0))</f>
        <v>0.105</v>
      </c>
      <c r="H151" s="42">
        <v>20020</v>
      </c>
      <c r="I151" s="8">
        <f>'Parameters | Agora'!$B$22</f>
        <v>1080</v>
      </c>
      <c r="J151" s="15">
        <f>'Parameters | Agora'!$B$21</f>
        <v>20</v>
      </c>
      <c r="K151" s="45">
        <f t="shared" si="8"/>
        <v>59.318518518518523</v>
      </c>
      <c r="L151" s="45">
        <f t="shared" si="6"/>
        <v>16.683333333333334</v>
      </c>
      <c r="M151" s="45">
        <f t="shared" si="7"/>
        <v>38.927777777777777</v>
      </c>
      <c r="N151" s="46">
        <f>E151*$H151/'Parameters | Agora'!$B$19*$J151</f>
        <v>355.9111111111111</v>
      </c>
      <c r="O151" s="46">
        <f>F151*$H151/'Parameters | Agora'!$B$19*$J151</f>
        <v>100.1</v>
      </c>
      <c r="P151" s="46">
        <f>G151*$H151/'Parameters | Agora'!$B$19*$J151</f>
        <v>233.56666666666666</v>
      </c>
    </row>
    <row r="152" spans="1:16">
      <c r="A152" s="43" t="s">
        <v>558</v>
      </c>
      <c r="B152" s="43" t="s">
        <v>559</v>
      </c>
      <c r="C152" s="43" t="s">
        <v>118</v>
      </c>
      <c r="D152" s="43" t="s">
        <v>325</v>
      </c>
      <c r="E152" s="44">
        <f>INDEX('Parameters | Agora'!$B$25:$D$33,MATCH($C152,'Parameters | Agora'!$A$25:$A$33,0),MATCH(E$1,'Parameters | Agora'!$B$24:$D$24,0))</f>
        <v>0.06</v>
      </c>
      <c r="F152" s="44">
        <f>INDEX('Parameters | Agora'!$B$25:$D$33,MATCH($C152,'Parameters | Agora'!$A$25:$A$33,0),MATCH(F$1,'Parameters | Agora'!$B$24:$D$24,0))</f>
        <v>0.05</v>
      </c>
      <c r="G152" s="44">
        <f>INDEX('Parameters | Agora'!$B$25:$D$33,MATCH($C152,'Parameters | Agora'!$A$25:$A$33,0),MATCH(G$1,'Parameters | Agora'!$B$24:$D$24,0))</f>
        <v>0.17299999999999999</v>
      </c>
      <c r="H152" s="42">
        <v>1560</v>
      </c>
      <c r="I152" s="8">
        <f>'Parameters | Agora'!$B$22</f>
        <v>1080</v>
      </c>
      <c r="J152" s="15">
        <f>'Parameters | Agora'!$B$21</f>
        <v>20</v>
      </c>
      <c r="K152" s="45">
        <f t="shared" si="8"/>
        <v>1.7333333333333332</v>
      </c>
      <c r="L152" s="45">
        <f t="shared" si="6"/>
        <v>1.4444444444444442</v>
      </c>
      <c r="M152" s="45">
        <f t="shared" si="7"/>
        <v>4.9977777777777774</v>
      </c>
      <c r="N152" s="46">
        <f>E152*$H152/'Parameters | Agora'!$B$19*$J152</f>
        <v>10.4</v>
      </c>
      <c r="O152" s="46">
        <f>F152*$H152/'Parameters | Agora'!$B$19*$J152</f>
        <v>8.6666666666666679</v>
      </c>
      <c r="P152" s="46">
        <f>G152*$H152/'Parameters | Agora'!$B$19*$J152</f>
        <v>29.986666666666668</v>
      </c>
    </row>
    <row r="153" spans="1:16">
      <c r="A153" s="43" t="s">
        <v>562</v>
      </c>
      <c r="B153" s="43" t="s">
        <v>563</v>
      </c>
      <c r="C153" s="43" t="s">
        <v>116</v>
      </c>
      <c r="D153" s="43" t="s">
        <v>121</v>
      </c>
      <c r="E153" s="44">
        <f>INDEX('Parameters | Agora'!$B$25:$D$33,MATCH($C153,'Parameters | Agora'!$A$25:$A$33,0),MATCH(E$1,'Parameters | Agora'!$B$24:$D$24,0))</f>
        <v>7.8E-2</v>
      </c>
      <c r="F153" s="44">
        <f>INDEX('Parameters | Agora'!$B$25:$D$33,MATCH($C153,'Parameters | Agora'!$A$25:$A$33,0),MATCH(F$1,'Parameters | Agora'!$B$24:$D$24,0))</f>
        <v>5.3999999999999999E-2</v>
      </c>
      <c r="G153" s="44">
        <f>INDEX('Parameters | Agora'!$B$25:$D$33,MATCH($C153,'Parameters | Agora'!$A$25:$A$33,0),MATCH(G$1,'Parameters | Agora'!$B$24:$D$24,0))</f>
        <v>0.159</v>
      </c>
      <c r="H153" s="42">
        <v>16960</v>
      </c>
      <c r="I153" s="8">
        <f>'Parameters | Agora'!$B$22</f>
        <v>1080</v>
      </c>
      <c r="J153" s="15">
        <f>'Parameters | Agora'!$B$21</f>
        <v>20</v>
      </c>
      <c r="K153" s="45">
        <f t="shared" si="8"/>
        <v>24.497777777777777</v>
      </c>
      <c r="L153" s="45">
        <f t="shared" si="6"/>
        <v>16.96</v>
      </c>
      <c r="M153" s="45">
        <f t="shared" si="7"/>
        <v>49.937777777777782</v>
      </c>
      <c r="N153" s="46">
        <f>E153*$H153/'Parameters | Agora'!$B$19*$J153</f>
        <v>146.98666666666668</v>
      </c>
      <c r="O153" s="46">
        <f>F153*$H153/'Parameters | Agora'!$B$19*$J153</f>
        <v>101.76</v>
      </c>
      <c r="P153" s="46">
        <f>G153*$H153/'Parameters | Agora'!$B$19*$J153</f>
        <v>299.62666666666667</v>
      </c>
    </row>
    <row r="154" spans="1:16">
      <c r="A154" s="43" t="s">
        <v>568</v>
      </c>
      <c r="B154" s="43" t="s">
        <v>569</v>
      </c>
      <c r="C154" s="43" t="s">
        <v>116</v>
      </c>
      <c r="D154" s="43" t="s">
        <v>322</v>
      </c>
      <c r="E154" s="44">
        <f>INDEX('Parameters | Agora'!$B$25:$D$33,MATCH($C154,'Parameters | Agora'!$A$25:$A$33,0),MATCH(E$1,'Parameters | Agora'!$B$24:$D$24,0))</f>
        <v>7.8E-2</v>
      </c>
      <c r="F154" s="44">
        <f>INDEX('Parameters | Agora'!$B$25:$D$33,MATCH($C154,'Parameters | Agora'!$A$25:$A$33,0),MATCH(F$1,'Parameters | Agora'!$B$24:$D$24,0))</f>
        <v>5.3999999999999999E-2</v>
      </c>
      <c r="G154" s="44">
        <f>INDEX('Parameters | Agora'!$B$25:$D$33,MATCH($C154,'Parameters | Agora'!$A$25:$A$33,0),MATCH(G$1,'Parameters | Agora'!$B$24:$D$24,0))</f>
        <v>0.159</v>
      </c>
      <c r="H154" s="42">
        <v>6740</v>
      </c>
      <c r="I154" s="8">
        <f>'Parameters | Agora'!$B$22</f>
        <v>1080</v>
      </c>
      <c r="J154" s="15">
        <f>'Parameters | Agora'!$B$21</f>
        <v>20</v>
      </c>
      <c r="K154" s="45">
        <f t="shared" si="8"/>
        <v>9.7355555555555569</v>
      </c>
      <c r="L154" s="45">
        <f t="shared" si="6"/>
        <v>6.7399999999999993</v>
      </c>
      <c r="M154" s="45">
        <f t="shared" si="7"/>
        <v>19.845555555555556</v>
      </c>
      <c r="N154" s="46">
        <f>E154*$H154/'Parameters | Agora'!$B$19*$J154</f>
        <v>58.413333333333341</v>
      </c>
      <c r="O154" s="46">
        <f>F154*$H154/'Parameters | Agora'!$B$19*$J154</f>
        <v>40.44</v>
      </c>
      <c r="P154" s="46">
        <f>G154*$H154/'Parameters | Agora'!$B$19*$J154</f>
        <v>119.07333333333334</v>
      </c>
    </row>
    <row r="155" spans="1:16">
      <c r="A155" s="43" t="s">
        <v>570</v>
      </c>
      <c r="B155" s="43" t="s">
        <v>571</v>
      </c>
      <c r="C155" s="43" t="s">
        <v>114</v>
      </c>
      <c r="D155" s="43" t="s">
        <v>325</v>
      </c>
      <c r="E155" s="44">
        <f>INDEX('Parameters | Agora'!$B$25:$D$33,MATCH($C155,'Parameters | Agora'!$A$25:$A$33,0),MATCH(E$1,'Parameters | Agora'!$B$24:$D$24,0))</f>
        <v>0.13600000000000001</v>
      </c>
      <c r="F155" s="44">
        <f>INDEX('Parameters | Agora'!$B$25:$D$33,MATCH($C155,'Parameters | Agora'!$A$25:$A$33,0),MATCH(F$1,'Parameters | Agora'!$B$24:$D$24,0))</f>
        <v>5.2999999999999999E-2</v>
      </c>
      <c r="G155" s="44">
        <f>INDEX('Parameters | Agora'!$B$25:$D$33,MATCH($C155,'Parameters | Agora'!$A$25:$A$33,0),MATCH(G$1,'Parameters | Agora'!$B$24:$D$24,0))</f>
        <v>0.14799999999999999</v>
      </c>
      <c r="H155" s="42">
        <v>3950</v>
      </c>
      <c r="I155" s="8">
        <f>'Parameters | Agora'!$B$22</f>
        <v>1080</v>
      </c>
      <c r="J155" s="15">
        <f>'Parameters | Agora'!$B$21</f>
        <v>20</v>
      </c>
      <c r="K155" s="45">
        <f t="shared" si="8"/>
        <v>9.9481481481481495</v>
      </c>
      <c r="L155" s="45">
        <f t="shared" si="6"/>
        <v>3.876851851851852</v>
      </c>
      <c r="M155" s="45">
        <f t="shared" si="7"/>
        <v>10.825925925925926</v>
      </c>
      <c r="N155" s="46">
        <f>E155*$H155/'Parameters | Agora'!$B$19*$J155</f>
        <v>59.688888888888897</v>
      </c>
      <c r="O155" s="46">
        <f>F155*$H155/'Parameters | Agora'!$B$19*$J155</f>
        <v>23.261111111111109</v>
      </c>
      <c r="P155" s="46">
        <f>G155*$H155/'Parameters | Agora'!$B$19*$J155</f>
        <v>64.955555555555563</v>
      </c>
    </row>
    <row r="156" spans="1:16">
      <c r="A156" s="43" t="s">
        <v>560</v>
      </c>
      <c r="B156" s="43" t="s">
        <v>561</v>
      </c>
      <c r="C156" s="43" t="s">
        <v>114</v>
      </c>
      <c r="D156" s="43" t="s">
        <v>322</v>
      </c>
      <c r="E156" s="44">
        <f>INDEX('Parameters | Agora'!$B$25:$D$33,MATCH($C156,'Parameters | Agora'!$A$25:$A$33,0),MATCH(E$1,'Parameters | Agora'!$B$24:$D$24,0))</f>
        <v>0.13600000000000001</v>
      </c>
      <c r="F156" s="44">
        <f>INDEX('Parameters | Agora'!$B$25:$D$33,MATCH($C156,'Parameters | Agora'!$A$25:$A$33,0),MATCH(F$1,'Parameters | Agora'!$B$24:$D$24,0))</f>
        <v>5.2999999999999999E-2</v>
      </c>
      <c r="G156" s="44">
        <f>INDEX('Parameters | Agora'!$B$25:$D$33,MATCH($C156,'Parameters | Agora'!$A$25:$A$33,0),MATCH(G$1,'Parameters | Agora'!$B$24:$D$24,0))</f>
        <v>0.14799999999999999</v>
      </c>
      <c r="H156" s="42">
        <v>13420</v>
      </c>
      <c r="I156" s="8">
        <f>'Parameters | Agora'!$B$22</f>
        <v>1080</v>
      </c>
      <c r="J156" s="15">
        <f>'Parameters | Agora'!$B$21</f>
        <v>20</v>
      </c>
      <c r="K156" s="45">
        <f t="shared" si="8"/>
        <v>33.79851851851852</v>
      </c>
      <c r="L156" s="45">
        <f t="shared" si="6"/>
        <v>13.171481481481482</v>
      </c>
      <c r="M156" s="45">
        <f t="shared" si="7"/>
        <v>36.78074074074074</v>
      </c>
      <c r="N156" s="46">
        <f>E156*$H156/'Parameters | Agora'!$B$19*$J156</f>
        <v>202.79111111111115</v>
      </c>
      <c r="O156" s="46">
        <f>F156*$H156/'Parameters | Agora'!$B$19*$J156</f>
        <v>79.028888888888886</v>
      </c>
      <c r="P156" s="46">
        <f>G156*$H156/'Parameters | Agora'!$B$19*$J156</f>
        <v>220.68444444444441</v>
      </c>
    </row>
    <row r="157" spans="1:16">
      <c r="A157" s="43" t="s">
        <v>564</v>
      </c>
      <c r="B157" s="43" t="s">
        <v>565</v>
      </c>
      <c r="C157" s="43" t="s">
        <v>114</v>
      </c>
      <c r="D157" s="43" t="s">
        <v>325</v>
      </c>
      <c r="E157" s="44">
        <f>INDEX('Parameters | Agora'!$B$25:$D$33,MATCH($C157,'Parameters | Agora'!$A$25:$A$33,0),MATCH(E$1,'Parameters | Agora'!$B$24:$D$24,0))</f>
        <v>0.13600000000000001</v>
      </c>
      <c r="F157" s="44">
        <f>INDEX('Parameters | Agora'!$B$25:$D$33,MATCH($C157,'Parameters | Agora'!$A$25:$A$33,0),MATCH(F$1,'Parameters | Agora'!$B$24:$D$24,0))</f>
        <v>5.2999999999999999E-2</v>
      </c>
      <c r="G157" s="44">
        <f>INDEX('Parameters | Agora'!$B$25:$D$33,MATCH($C157,'Parameters | Agora'!$A$25:$A$33,0),MATCH(G$1,'Parameters | Agora'!$B$24:$D$24,0))</f>
        <v>0.14799999999999999</v>
      </c>
      <c r="H157" s="42">
        <v>2700</v>
      </c>
      <c r="I157" s="8">
        <f>'Parameters | Agora'!$B$22</f>
        <v>1080</v>
      </c>
      <c r="J157" s="15">
        <f>'Parameters | Agora'!$B$21</f>
        <v>20</v>
      </c>
      <c r="K157" s="45">
        <f t="shared" si="8"/>
        <v>6.8000000000000007</v>
      </c>
      <c r="L157" s="45">
        <f t="shared" si="6"/>
        <v>2.6500000000000004</v>
      </c>
      <c r="M157" s="45">
        <f t="shared" si="7"/>
        <v>7.4</v>
      </c>
      <c r="N157" s="46">
        <f>E157*$H157/'Parameters | Agora'!$B$19*$J157</f>
        <v>40.799999999999997</v>
      </c>
      <c r="O157" s="46">
        <f>F157*$H157/'Parameters | Agora'!$B$19*$J157</f>
        <v>15.899999999999999</v>
      </c>
      <c r="P157" s="46">
        <f>G157*$H157/'Parameters | Agora'!$B$19*$J157</f>
        <v>44.399999999999991</v>
      </c>
    </row>
    <row r="158" spans="1:16">
      <c r="A158" s="43" t="s">
        <v>572</v>
      </c>
      <c r="B158" s="43" t="s">
        <v>573</v>
      </c>
      <c r="C158" s="43" t="s">
        <v>115</v>
      </c>
      <c r="D158" s="43" t="s">
        <v>121</v>
      </c>
      <c r="E158" s="44">
        <f>INDEX('Parameters | Agora'!$B$25:$D$33,MATCH($C158,'Parameters | Agora'!$A$25:$A$33,0),MATCH(E$1,'Parameters | Agora'!$B$24:$D$24,0))</f>
        <v>0.13900000000000001</v>
      </c>
      <c r="F158" s="44">
        <f>INDEX('Parameters | Agora'!$B$25:$D$33,MATCH($C158,'Parameters | Agora'!$A$25:$A$33,0),MATCH(F$1,'Parameters | Agora'!$B$24:$D$24,0))</f>
        <v>4.7E-2</v>
      </c>
      <c r="G158" s="44">
        <f>INDEX('Parameters | Agora'!$B$25:$D$33,MATCH($C158,'Parameters | Agora'!$A$25:$A$33,0),MATCH(G$1,'Parameters | Agora'!$B$24:$D$24,0))</f>
        <v>0.10299999999999999</v>
      </c>
      <c r="H158" s="42">
        <v>18900</v>
      </c>
      <c r="I158" s="8">
        <f>'Parameters | Agora'!$B$22</f>
        <v>1080</v>
      </c>
      <c r="J158" s="15">
        <f>'Parameters | Agora'!$B$21</f>
        <v>20</v>
      </c>
      <c r="K158" s="45">
        <f t="shared" si="8"/>
        <v>48.650000000000013</v>
      </c>
      <c r="L158" s="45">
        <f t="shared" si="6"/>
        <v>16.45</v>
      </c>
      <c r="M158" s="45">
        <f t="shared" si="7"/>
        <v>36.049999999999997</v>
      </c>
      <c r="N158" s="46">
        <f>E158*$H158/'Parameters | Agora'!$B$19*$J158</f>
        <v>291.90000000000003</v>
      </c>
      <c r="O158" s="46">
        <f>F158*$H158/'Parameters | Agora'!$B$19*$J158</f>
        <v>98.699999999999989</v>
      </c>
      <c r="P158" s="46">
        <f>G158*$H158/'Parameters | Agora'!$B$19*$J158</f>
        <v>216.29999999999998</v>
      </c>
    </row>
    <row r="159" spans="1:16">
      <c r="A159" s="43" t="s">
        <v>576</v>
      </c>
      <c r="B159" s="43" t="s">
        <v>577</v>
      </c>
      <c r="C159" s="43" t="s">
        <v>116</v>
      </c>
      <c r="D159" s="43" t="s">
        <v>121</v>
      </c>
      <c r="E159" s="44">
        <f>INDEX('Parameters | Agora'!$B$25:$D$33,MATCH($C159,'Parameters | Agora'!$A$25:$A$33,0),MATCH(E$1,'Parameters | Agora'!$B$24:$D$24,0))</f>
        <v>7.8E-2</v>
      </c>
      <c r="F159" s="44">
        <f>INDEX('Parameters | Agora'!$B$25:$D$33,MATCH($C159,'Parameters | Agora'!$A$25:$A$33,0),MATCH(F$1,'Parameters | Agora'!$B$24:$D$24,0))</f>
        <v>5.3999999999999999E-2</v>
      </c>
      <c r="G159" s="44">
        <f>INDEX('Parameters | Agora'!$B$25:$D$33,MATCH($C159,'Parameters | Agora'!$A$25:$A$33,0),MATCH(G$1,'Parameters | Agora'!$B$24:$D$24,0))</f>
        <v>0.159</v>
      </c>
      <c r="H159" s="42">
        <v>24560</v>
      </c>
      <c r="I159" s="8">
        <f>'Parameters | Agora'!$B$22</f>
        <v>1080</v>
      </c>
      <c r="J159" s="15">
        <f>'Parameters | Agora'!$B$21</f>
        <v>20</v>
      </c>
      <c r="K159" s="45">
        <f t="shared" si="8"/>
        <v>35.475555555555559</v>
      </c>
      <c r="L159" s="45">
        <f t="shared" si="6"/>
        <v>24.56</v>
      </c>
      <c r="M159" s="45">
        <f t="shared" si="7"/>
        <v>72.315555555555562</v>
      </c>
      <c r="N159" s="46">
        <f>E159*$H159/'Parameters | Agora'!$B$19*$J159</f>
        <v>212.85333333333335</v>
      </c>
      <c r="O159" s="46">
        <f>F159*$H159/'Parameters | Agora'!$B$19*$J159</f>
        <v>147.36000000000001</v>
      </c>
      <c r="P159" s="46">
        <f>G159*$H159/'Parameters | Agora'!$B$19*$J159</f>
        <v>433.89333333333332</v>
      </c>
    </row>
    <row r="160" spans="1:16">
      <c r="A160" s="43" t="s">
        <v>766</v>
      </c>
      <c r="B160" s="43" t="s">
        <v>713</v>
      </c>
      <c r="C160" s="43" t="s">
        <v>114</v>
      </c>
      <c r="D160" s="43" t="s">
        <v>319</v>
      </c>
      <c r="E160" s="44">
        <f>INDEX('Parameters | Agora'!$B$25:$D$33,MATCH($C160,'Parameters | Agora'!$A$25:$A$33,0),MATCH(E$1,'Parameters | Agora'!$B$24:$D$24,0))</f>
        <v>0.13600000000000001</v>
      </c>
      <c r="F160" s="44">
        <f>INDEX('Parameters | Agora'!$B$25:$D$33,MATCH($C160,'Parameters | Agora'!$A$25:$A$33,0),MATCH(F$1,'Parameters | Agora'!$B$24:$D$24,0))</f>
        <v>5.2999999999999999E-2</v>
      </c>
      <c r="G160" s="44">
        <f>INDEX('Parameters | Agora'!$B$25:$D$33,MATCH($C160,'Parameters | Agora'!$A$25:$A$33,0),MATCH(G$1,'Parameters | Agora'!$B$24:$D$24,0))</f>
        <v>0.14799999999999999</v>
      </c>
      <c r="H160" s="42">
        <v>2526.8989236187999</v>
      </c>
      <c r="I160" s="8">
        <f>'Parameters | Agora'!$B$22</f>
        <v>1080</v>
      </c>
      <c r="J160" s="15">
        <f>'Parameters | Agora'!$B$21</f>
        <v>20</v>
      </c>
      <c r="K160" s="45">
        <f t="shared" si="8"/>
        <v>6.3640417335584596</v>
      </c>
      <c r="L160" s="45">
        <f t="shared" si="6"/>
        <v>2.4801044991073407</v>
      </c>
      <c r="M160" s="45">
        <f t="shared" si="7"/>
        <v>6.9255748276959697</v>
      </c>
      <c r="N160" s="46">
        <f>E160*$H160/'Parameters | Agora'!$B$19*$J160</f>
        <v>38.184250401350759</v>
      </c>
      <c r="O160" s="46">
        <f>F160*$H160/'Parameters | Agora'!$B$19*$J160</f>
        <v>14.880626994644043</v>
      </c>
      <c r="P160" s="46">
        <f>G160*$H160/'Parameters | Agora'!$B$19*$J160</f>
        <v>41.553448966175814</v>
      </c>
    </row>
    <row r="161" spans="1:16">
      <c r="A161" s="43" t="s">
        <v>574</v>
      </c>
      <c r="B161" s="43" t="s">
        <v>575</v>
      </c>
      <c r="C161" s="43" t="s">
        <v>115</v>
      </c>
      <c r="D161" s="43" t="s">
        <v>121</v>
      </c>
      <c r="E161" s="44">
        <f>INDEX('Parameters | Agora'!$B$25:$D$33,MATCH($C161,'Parameters | Agora'!$A$25:$A$33,0),MATCH(E$1,'Parameters | Agora'!$B$24:$D$24,0))</f>
        <v>0.13900000000000001</v>
      </c>
      <c r="F161" s="44">
        <f>INDEX('Parameters | Agora'!$B$25:$D$33,MATCH($C161,'Parameters | Agora'!$A$25:$A$33,0),MATCH(F$1,'Parameters | Agora'!$B$24:$D$24,0))</f>
        <v>4.7E-2</v>
      </c>
      <c r="G161" s="44">
        <f>INDEX('Parameters | Agora'!$B$25:$D$33,MATCH($C161,'Parameters | Agora'!$A$25:$A$33,0),MATCH(G$1,'Parameters | Agora'!$B$24:$D$24,0))</f>
        <v>0.10299999999999999</v>
      </c>
      <c r="H161" s="42">
        <v>25950</v>
      </c>
      <c r="I161" s="8">
        <f>'Parameters | Agora'!$B$22</f>
        <v>1080</v>
      </c>
      <c r="J161" s="15">
        <f>'Parameters | Agora'!$B$21</f>
        <v>20</v>
      </c>
      <c r="K161" s="45">
        <f t="shared" si="8"/>
        <v>66.797222222222231</v>
      </c>
      <c r="L161" s="45">
        <f t="shared" si="6"/>
        <v>22.586111111111112</v>
      </c>
      <c r="M161" s="45">
        <f t="shared" si="7"/>
        <v>49.49722222222222</v>
      </c>
      <c r="N161" s="46">
        <f>E161*$H161/'Parameters | Agora'!$B$19*$J161</f>
        <v>400.7833333333333</v>
      </c>
      <c r="O161" s="46">
        <f>F161*$H161/'Parameters | Agora'!$B$19*$J161</f>
        <v>135.51666666666668</v>
      </c>
      <c r="P161" s="46">
        <f>G161*$H161/'Parameters | Agora'!$B$19*$J161</f>
        <v>296.98333333333329</v>
      </c>
    </row>
    <row r="162" spans="1:16">
      <c r="A162" s="43" t="s">
        <v>566</v>
      </c>
      <c r="B162" s="43" t="s">
        <v>567</v>
      </c>
      <c r="C162" s="43" t="s">
        <v>116</v>
      </c>
      <c r="D162" s="43" t="s">
        <v>322</v>
      </c>
      <c r="E162" s="44">
        <f>INDEX('Parameters | Agora'!$B$25:$D$33,MATCH($C162,'Parameters | Agora'!$A$25:$A$33,0),MATCH(E$1,'Parameters | Agora'!$B$24:$D$24,0))</f>
        <v>7.8E-2</v>
      </c>
      <c r="F162" s="44">
        <f>INDEX('Parameters | Agora'!$B$25:$D$33,MATCH($C162,'Parameters | Agora'!$A$25:$A$33,0),MATCH(F$1,'Parameters | Agora'!$B$24:$D$24,0))</f>
        <v>5.3999999999999999E-2</v>
      </c>
      <c r="G162" s="44">
        <f>INDEX('Parameters | Agora'!$B$25:$D$33,MATCH($C162,'Parameters | Agora'!$A$25:$A$33,0),MATCH(G$1,'Parameters | Agora'!$B$24:$D$24,0))</f>
        <v>0.159</v>
      </c>
      <c r="H162" s="42">
        <v>5920</v>
      </c>
      <c r="I162" s="8">
        <f>'Parameters | Agora'!$B$22</f>
        <v>1080</v>
      </c>
      <c r="J162" s="15">
        <f>'Parameters | Agora'!$B$21</f>
        <v>20</v>
      </c>
      <c r="K162" s="45">
        <f t="shared" si="8"/>
        <v>8.5511111111111102</v>
      </c>
      <c r="L162" s="45">
        <f t="shared" si="6"/>
        <v>5.92</v>
      </c>
      <c r="M162" s="45">
        <f t="shared" si="7"/>
        <v>17.431111111111111</v>
      </c>
      <c r="N162" s="46">
        <f>E162*$H162/'Parameters | Agora'!$B$19*$J162</f>
        <v>51.306666666666665</v>
      </c>
      <c r="O162" s="46">
        <f>F162*$H162/'Parameters | Agora'!$B$19*$J162</f>
        <v>35.520000000000003</v>
      </c>
      <c r="P162" s="46">
        <f>G162*$H162/'Parameters | Agora'!$B$19*$J162</f>
        <v>104.58666666666666</v>
      </c>
    </row>
    <row r="163" spans="1:16">
      <c r="A163" s="43" t="s">
        <v>676</v>
      </c>
      <c r="B163" s="43" t="s">
        <v>677</v>
      </c>
      <c r="C163" s="43" t="s">
        <v>117</v>
      </c>
      <c r="D163" s="43" t="s">
        <v>322</v>
      </c>
      <c r="E163" s="44">
        <f>INDEX('Parameters | Agora'!$B$25:$D$33,MATCH($C163,'Parameters | Agora'!$A$25:$A$33,0),MATCH(E$1,'Parameters | Agora'!$B$24:$D$24,0))</f>
        <v>0.16</v>
      </c>
      <c r="F163" s="44">
        <f>INDEX('Parameters | Agora'!$B$25:$D$33,MATCH($C163,'Parameters | Agora'!$A$25:$A$33,0),MATCH(F$1,'Parameters | Agora'!$B$24:$D$24,0))</f>
        <v>4.4999999999999998E-2</v>
      </c>
      <c r="G163" s="44">
        <f>INDEX('Parameters | Agora'!$B$25:$D$33,MATCH($C163,'Parameters | Agora'!$A$25:$A$33,0),MATCH(G$1,'Parameters | Agora'!$B$24:$D$24,0))</f>
        <v>0.105</v>
      </c>
      <c r="H163" s="42">
        <v>4610</v>
      </c>
      <c r="I163" s="8">
        <f>'Parameters | Agora'!$B$22</f>
        <v>1080</v>
      </c>
      <c r="J163" s="15">
        <f>'Parameters | Agora'!$B$21</f>
        <v>20</v>
      </c>
      <c r="K163" s="45">
        <f t="shared" si="8"/>
        <v>13.65925925925926</v>
      </c>
      <c r="L163" s="45">
        <f t="shared" si="6"/>
        <v>3.8416666666666668</v>
      </c>
      <c r="M163" s="45">
        <f t="shared" si="7"/>
        <v>8.9638888888888886</v>
      </c>
      <c r="N163" s="46">
        <f>E163*$H163/'Parameters | Agora'!$B$19*$J163</f>
        <v>81.955555555555563</v>
      </c>
      <c r="O163" s="46">
        <f>F163*$H163/'Parameters | Agora'!$B$19*$J163</f>
        <v>23.049999999999997</v>
      </c>
      <c r="P163" s="46">
        <f>G163*$H163/'Parameters | Agora'!$B$19*$J163</f>
        <v>53.783333333333331</v>
      </c>
    </row>
    <row r="164" spans="1:16">
      <c r="A164" s="43" t="s">
        <v>714</v>
      </c>
      <c r="B164" s="43" t="s">
        <v>715</v>
      </c>
      <c r="C164" s="43" t="s">
        <v>114</v>
      </c>
      <c r="D164" s="43" t="s">
        <v>121</v>
      </c>
      <c r="E164" s="44">
        <f>INDEX('Parameters | Agora'!$B$25:$D$33,MATCH($C164,'Parameters | Agora'!$A$25:$A$33,0),MATCH(E$1,'Parameters | Agora'!$B$24:$D$24,0))</f>
        <v>0.13600000000000001</v>
      </c>
      <c r="F164" s="44">
        <f>INDEX('Parameters | Agora'!$B$25:$D$33,MATCH($C164,'Parameters | Agora'!$A$25:$A$33,0),MATCH(F$1,'Parameters | Agora'!$B$24:$D$24,0))</f>
        <v>5.2999999999999999E-2</v>
      </c>
      <c r="G164" s="44">
        <f>INDEX('Parameters | Agora'!$B$25:$D$33,MATCH($C164,'Parameters | Agora'!$A$25:$A$33,0),MATCH(G$1,'Parameters | Agora'!$B$24:$D$24,0))</f>
        <v>0.14799999999999999</v>
      </c>
      <c r="H164" s="42">
        <v>47870.392999999989</v>
      </c>
      <c r="I164" s="8">
        <f>'Parameters | Agora'!$B$22</f>
        <v>1080</v>
      </c>
      <c r="J164" s="15">
        <f>'Parameters | Agora'!$B$21</f>
        <v>20</v>
      </c>
      <c r="K164" s="45">
        <f t="shared" si="8"/>
        <v>120.56247125925924</v>
      </c>
      <c r="L164" s="45">
        <f t="shared" si="6"/>
        <v>46.983904240740728</v>
      </c>
      <c r="M164" s="45">
        <f t="shared" si="7"/>
        <v>131.20033637037034</v>
      </c>
      <c r="N164" s="46">
        <f>E164*$H164/'Parameters | Agora'!$B$19*$J164</f>
        <v>723.37482755555561</v>
      </c>
      <c r="O164" s="46">
        <f>F164*$H164/'Parameters | Agora'!$B$19*$J164</f>
        <v>281.90342544444439</v>
      </c>
      <c r="P164" s="46">
        <f>G164*$H164/'Parameters | Agora'!$B$19*$J164</f>
        <v>787.20201822222202</v>
      </c>
    </row>
    <row r="165" spans="1:16">
      <c r="A165" s="43" t="s">
        <v>578</v>
      </c>
      <c r="B165" s="43" t="s">
        <v>579</v>
      </c>
      <c r="C165" s="43" t="s">
        <v>117</v>
      </c>
      <c r="D165" s="43" t="s">
        <v>121</v>
      </c>
      <c r="E165" s="44">
        <f>INDEX('Parameters | Agora'!$B$25:$D$33,MATCH($C165,'Parameters | Agora'!$A$25:$A$33,0),MATCH(E$1,'Parameters | Agora'!$B$24:$D$24,0))</f>
        <v>0.16</v>
      </c>
      <c r="F165" s="44">
        <f>INDEX('Parameters | Agora'!$B$25:$D$33,MATCH($C165,'Parameters | Agora'!$A$25:$A$33,0),MATCH(F$1,'Parameters | Agora'!$B$24:$D$24,0))</f>
        <v>4.4999999999999998E-2</v>
      </c>
      <c r="G165" s="44">
        <f>INDEX('Parameters | Agora'!$B$25:$D$33,MATCH($C165,'Parameters | Agora'!$A$25:$A$33,0),MATCH(G$1,'Parameters | Agora'!$B$24:$D$24,0))</f>
        <v>0.105</v>
      </c>
      <c r="H165" s="42">
        <v>70120</v>
      </c>
      <c r="I165" s="8">
        <f>'Parameters | Agora'!$B$22</f>
        <v>1080</v>
      </c>
      <c r="J165" s="15">
        <f>'Parameters | Agora'!$B$21</f>
        <v>20</v>
      </c>
      <c r="K165" s="45">
        <f t="shared" si="8"/>
        <v>207.76296296296297</v>
      </c>
      <c r="L165" s="45">
        <f t="shared" si="6"/>
        <v>58.433333333333337</v>
      </c>
      <c r="M165" s="45">
        <f t="shared" si="7"/>
        <v>136.34444444444443</v>
      </c>
      <c r="N165" s="46">
        <f>E165*$H165/'Parameters | Agora'!$B$19*$J165</f>
        <v>1246.5777777777778</v>
      </c>
      <c r="O165" s="46">
        <f>F165*$H165/'Parameters | Agora'!$B$19*$J165</f>
        <v>350.6</v>
      </c>
      <c r="P165" s="46">
        <f>G165*$H165/'Parameters | Agora'!$B$19*$J165</f>
        <v>818.06666666666661</v>
      </c>
    </row>
    <row r="166" spans="1:16">
      <c r="A166" s="43" t="s">
        <v>580</v>
      </c>
      <c r="B166" s="43" t="s">
        <v>581</v>
      </c>
      <c r="C166" s="43" t="s">
        <v>115</v>
      </c>
      <c r="D166" s="43" t="s">
        <v>121</v>
      </c>
      <c r="E166" s="44">
        <f>INDEX('Parameters | Agora'!$B$25:$D$33,MATCH($C166,'Parameters | Agora'!$A$25:$A$33,0),MATCH(E$1,'Parameters | Agora'!$B$24:$D$24,0))</f>
        <v>0.13900000000000001</v>
      </c>
      <c r="F166" s="44">
        <f>INDEX('Parameters | Agora'!$B$25:$D$33,MATCH($C166,'Parameters | Agora'!$A$25:$A$33,0),MATCH(F$1,'Parameters | Agora'!$B$24:$D$24,0))</f>
        <v>4.7E-2</v>
      </c>
      <c r="G166" s="44">
        <f>INDEX('Parameters | Agora'!$B$25:$D$33,MATCH($C166,'Parameters | Agora'!$A$25:$A$33,0),MATCH(G$1,'Parameters | Agora'!$B$24:$D$24,0))</f>
        <v>0.10299999999999999</v>
      </c>
      <c r="H166" s="42">
        <v>15570</v>
      </c>
      <c r="I166" s="8">
        <f>'Parameters | Agora'!$B$22</f>
        <v>1080</v>
      </c>
      <c r="J166" s="15">
        <f>'Parameters | Agora'!$B$21</f>
        <v>20</v>
      </c>
      <c r="K166" s="45">
        <f t="shared" si="8"/>
        <v>40.078333333333333</v>
      </c>
      <c r="L166" s="45">
        <f t="shared" si="6"/>
        <v>13.551666666666666</v>
      </c>
      <c r="M166" s="45">
        <f t="shared" si="7"/>
        <v>29.698333333333331</v>
      </c>
      <c r="N166" s="46">
        <f>E166*$H166/'Parameters | Agora'!$B$19*$J166</f>
        <v>240.47</v>
      </c>
      <c r="O166" s="46">
        <f>F166*$H166/'Parameters | Agora'!$B$19*$J166</f>
        <v>81.31</v>
      </c>
      <c r="P166" s="46">
        <f>G166*$H166/'Parameters | Agora'!$B$19*$J166</f>
        <v>178.19</v>
      </c>
    </row>
    <row r="167" spans="1:16">
      <c r="A167" s="43" t="s">
        <v>582</v>
      </c>
      <c r="B167" s="43" t="s">
        <v>583</v>
      </c>
      <c r="C167" s="43" t="s">
        <v>115</v>
      </c>
      <c r="D167" s="43" t="s">
        <v>322</v>
      </c>
      <c r="E167" s="44">
        <f>INDEX('Parameters | Agora'!$B$25:$D$33,MATCH($C167,'Parameters | Agora'!$A$25:$A$33,0),MATCH(E$1,'Parameters | Agora'!$B$24:$D$24,0))</f>
        <v>0.13900000000000001</v>
      </c>
      <c r="F167" s="44">
        <f>INDEX('Parameters | Agora'!$B$25:$D$33,MATCH($C167,'Parameters | Agora'!$A$25:$A$33,0),MATCH(F$1,'Parameters | Agora'!$B$24:$D$24,0))</f>
        <v>4.7E-2</v>
      </c>
      <c r="G167" s="44">
        <f>INDEX('Parameters | Agora'!$B$25:$D$33,MATCH($C167,'Parameters | Agora'!$A$25:$A$33,0),MATCH(G$1,'Parameters | Agora'!$B$24:$D$24,0))</f>
        <v>0.10299999999999999</v>
      </c>
      <c r="H167" s="42">
        <v>12750</v>
      </c>
      <c r="I167" s="8">
        <f>'Parameters | Agora'!$B$22</f>
        <v>1080</v>
      </c>
      <c r="J167" s="15">
        <f>'Parameters | Agora'!$B$21</f>
        <v>20</v>
      </c>
      <c r="K167" s="45">
        <f t="shared" si="8"/>
        <v>32.81944444444445</v>
      </c>
      <c r="L167" s="45">
        <f t="shared" si="6"/>
        <v>11.097222222222223</v>
      </c>
      <c r="M167" s="45">
        <f t="shared" si="7"/>
        <v>24.319444444444443</v>
      </c>
      <c r="N167" s="46">
        <f>E167*$H167/'Parameters | Agora'!$B$19*$J167</f>
        <v>196.91666666666669</v>
      </c>
      <c r="O167" s="46">
        <f>F167*$H167/'Parameters | Agora'!$B$19*$J167</f>
        <v>66.583333333333329</v>
      </c>
      <c r="P167" s="46">
        <f>G167*$H167/'Parameters | Agora'!$B$19*$J167</f>
        <v>145.91666666666666</v>
      </c>
    </row>
    <row r="168" spans="1:16">
      <c r="A168" s="43" t="s">
        <v>584</v>
      </c>
      <c r="B168" s="43" t="s">
        <v>585</v>
      </c>
      <c r="C168" s="43" t="s">
        <v>119</v>
      </c>
      <c r="D168" s="43" t="s">
        <v>319</v>
      </c>
      <c r="E168" s="44">
        <f>INDEX('Parameters | Agora'!$B$25:$D$33,MATCH($C168,'Parameters | Agora'!$A$25:$A$33,0),MATCH(E$1,'Parameters | Agora'!$B$24:$D$24,0))</f>
        <v>0.14399999999999999</v>
      </c>
      <c r="F168" s="44">
        <f>INDEX('Parameters | Agora'!$B$25:$D$33,MATCH($C168,'Parameters | Agora'!$A$25:$A$33,0),MATCH(F$1,'Parameters | Agora'!$B$24:$D$24,0))</f>
        <v>0.106</v>
      </c>
      <c r="G168" s="44">
        <f>INDEX('Parameters | Agora'!$B$25:$D$33,MATCH($C168,'Parameters | Agora'!$A$25:$A$33,0),MATCH(G$1,'Parameters | Agora'!$B$24:$D$24,0))</f>
        <v>0.21</v>
      </c>
      <c r="H168" s="42">
        <v>930</v>
      </c>
      <c r="I168" s="8">
        <f>'Parameters | Agora'!$B$22</f>
        <v>1080</v>
      </c>
      <c r="J168" s="15">
        <f>'Parameters | Agora'!$B$21</f>
        <v>20</v>
      </c>
      <c r="K168" s="45">
        <f t="shared" si="8"/>
        <v>2.4799999999999995</v>
      </c>
      <c r="L168" s="45">
        <f t="shared" si="6"/>
        <v>1.8255555555555556</v>
      </c>
      <c r="M168" s="45">
        <f t="shared" si="7"/>
        <v>3.6166666666666663</v>
      </c>
      <c r="N168" s="46">
        <f>E168*$H168/'Parameters | Agora'!$B$19*$J168</f>
        <v>14.879999999999997</v>
      </c>
      <c r="O168" s="46">
        <f>F168*$H168/'Parameters | Agora'!$B$19*$J168</f>
        <v>10.953333333333333</v>
      </c>
      <c r="P168" s="46">
        <f>G168*$H168/'Parameters | Agora'!$B$19*$J168</f>
        <v>21.7</v>
      </c>
    </row>
    <row r="169" spans="1:16">
      <c r="A169" s="43" t="s">
        <v>590</v>
      </c>
      <c r="B169" s="43" t="s">
        <v>591</v>
      </c>
      <c r="C169" s="43" t="s">
        <v>117</v>
      </c>
      <c r="D169" s="43" t="s">
        <v>121</v>
      </c>
      <c r="E169" s="44">
        <f>INDEX('Parameters | Agora'!$B$25:$D$33,MATCH($C169,'Parameters | Agora'!$A$25:$A$33,0),MATCH(E$1,'Parameters | Agora'!$B$24:$D$24,0))</f>
        <v>0.16</v>
      </c>
      <c r="F169" s="44">
        <f>INDEX('Parameters | Agora'!$B$25:$D$33,MATCH($C169,'Parameters | Agora'!$A$25:$A$33,0),MATCH(F$1,'Parameters | Agora'!$B$24:$D$24,0))</f>
        <v>4.4999999999999998E-2</v>
      </c>
      <c r="G169" s="44">
        <f>INDEX('Parameters | Agora'!$B$25:$D$33,MATCH($C169,'Parameters | Agora'!$A$25:$A$33,0),MATCH(G$1,'Parameters | Agora'!$B$24:$D$24,0))</f>
        <v>0.105</v>
      </c>
      <c r="H169" s="42">
        <v>27680</v>
      </c>
      <c r="I169" s="8">
        <f>'Parameters | Agora'!$B$22</f>
        <v>1080</v>
      </c>
      <c r="J169" s="15">
        <f>'Parameters | Agora'!$B$21</f>
        <v>20</v>
      </c>
      <c r="K169" s="45">
        <f t="shared" si="8"/>
        <v>82.014814814814812</v>
      </c>
      <c r="L169" s="45">
        <f t="shared" si="6"/>
        <v>23.066666666666666</v>
      </c>
      <c r="M169" s="45">
        <f t="shared" si="7"/>
        <v>53.822222222222223</v>
      </c>
      <c r="N169" s="46">
        <f>E169*$H169/'Parameters | Agora'!$B$19*$J169</f>
        <v>492.08888888888896</v>
      </c>
      <c r="O169" s="46">
        <f>F169*$H169/'Parameters | Agora'!$B$19*$J169</f>
        <v>138.4</v>
      </c>
      <c r="P169" s="46">
        <f>G169*$H169/'Parameters | Agora'!$B$19*$J169</f>
        <v>322.93333333333339</v>
      </c>
    </row>
    <row r="170" spans="1:16">
      <c r="A170" s="43" t="s">
        <v>622</v>
      </c>
      <c r="B170" s="43" t="s">
        <v>623</v>
      </c>
      <c r="C170" s="43" t="s">
        <v>119</v>
      </c>
      <c r="D170" s="43" t="s">
        <v>319</v>
      </c>
      <c r="E170" s="44">
        <f>INDEX('Parameters | Agora'!$B$25:$D$33,MATCH($C170,'Parameters | Agora'!$A$25:$A$33,0),MATCH(E$1,'Parameters | Agora'!$B$24:$D$24,0))</f>
        <v>0.14399999999999999</v>
      </c>
      <c r="F170" s="44">
        <f>INDEX('Parameters | Agora'!$B$25:$D$33,MATCH($C170,'Parameters | Agora'!$A$25:$A$33,0),MATCH(F$1,'Parameters | Agora'!$B$24:$D$24,0))</f>
        <v>0.106</v>
      </c>
      <c r="G170" s="44">
        <f>INDEX('Parameters | Agora'!$B$25:$D$33,MATCH($C170,'Parameters | Agora'!$A$25:$A$33,0),MATCH(G$1,'Parameters | Agora'!$B$24:$D$24,0))</f>
        <v>0.21</v>
      </c>
      <c r="H170" s="42">
        <v>760</v>
      </c>
      <c r="I170" s="8">
        <f>'Parameters | Agora'!$B$22</f>
        <v>1080</v>
      </c>
      <c r="J170" s="15">
        <f>'Parameters | Agora'!$B$21</f>
        <v>20</v>
      </c>
      <c r="K170" s="45">
        <f t="shared" si="8"/>
        <v>2.0266666666666664</v>
      </c>
      <c r="L170" s="45">
        <f t="shared" si="6"/>
        <v>1.491851851851852</v>
      </c>
      <c r="M170" s="45">
        <f t="shared" si="7"/>
        <v>2.9555555555555557</v>
      </c>
      <c r="N170" s="46">
        <f>E170*$H170/'Parameters | Agora'!$B$19*$J170</f>
        <v>12.16</v>
      </c>
      <c r="O170" s="46">
        <f>F170*$H170/'Parameters | Agora'!$B$19*$J170</f>
        <v>8.9511111111111124</v>
      </c>
      <c r="P170" s="46">
        <f>G170*$H170/'Parameters | Agora'!$B$19*$J170</f>
        <v>17.733333333333331</v>
      </c>
    </row>
    <row r="171" spans="1:16">
      <c r="A171" s="43" t="s">
        <v>592</v>
      </c>
      <c r="B171" s="43" t="s">
        <v>593</v>
      </c>
      <c r="C171" s="43" t="s">
        <v>119</v>
      </c>
      <c r="D171" s="43" t="s">
        <v>325</v>
      </c>
      <c r="E171" s="44">
        <f>INDEX('Parameters | Agora'!$B$25:$D$33,MATCH($C171,'Parameters | Agora'!$A$25:$A$33,0),MATCH(E$1,'Parameters | Agora'!$B$24:$D$24,0))</f>
        <v>0.14399999999999999</v>
      </c>
      <c r="F171" s="44">
        <f>INDEX('Parameters | Agora'!$B$25:$D$33,MATCH($C171,'Parameters | Agora'!$A$25:$A$33,0),MATCH(F$1,'Parameters | Agora'!$B$24:$D$24,0))</f>
        <v>0.106</v>
      </c>
      <c r="G171" s="44">
        <f>INDEX('Parameters | Agora'!$B$25:$D$33,MATCH($C171,'Parameters | Agora'!$A$25:$A$33,0),MATCH(G$1,'Parameters | Agora'!$B$24:$D$24,0))</f>
        <v>0.21</v>
      </c>
      <c r="H171" s="42">
        <v>1620</v>
      </c>
      <c r="I171" s="8">
        <f>'Parameters | Agora'!$B$22</f>
        <v>1080</v>
      </c>
      <c r="J171" s="15">
        <f>'Parameters | Agora'!$B$21</f>
        <v>20</v>
      </c>
      <c r="K171" s="45">
        <f t="shared" si="8"/>
        <v>4.3199999999999994</v>
      </c>
      <c r="L171" s="45">
        <f t="shared" si="6"/>
        <v>3.18</v>
      </c>
      <c r="M171" s="45">
        <f t="shared" si="7"/>
        <v>6.3</v>
      </c>
      <c r="N171" s="46">
        <f>E171*$H171/'Parameters | Agora'!$B$19*$J171</f>
        <v>25.919999999999995</v>
      </c>
      <c r="O171" s="46">
        <f>F171*$H171/'Parameters | Agora'!$B$19*$J171</f>
        <v>19.079999999999998</v>
      </c>
      <c r="P171" s="46">
        <f>G171*$H171/'Parameters | Agora'!$B$19*$J171</f>
        <v>37.799999999999997</v>
      </c>
    </row>
    <row r="172" spans="1:16">
      <c r="A172" s="43" t="s">
        <v>600</v>
      </c>
      <c r="B172" s="43" t="s">
        <v>601</v>
      </c>
      <c r="C172" s="43" t="s">
        <v>114</v>
      </c>
      <c r="D172" s="43" t="s">
        <v>121</v>
      </c>
      <c r="E172" s="44">
        <f>INDEX('Parameters | Agora'!$B$25:$D$33,MATCH($C172,'Parameters | Agora'!$A$25:$A$33,0),MATCH(E$1,'Parameters | Agora'!$B$24:$D$24,0))</f>
        <v>0.13600000000000001</v>
      </c>
      <c r="F172" s="44">
        <f>INDEX('Parameters | Agora'!$B$25:$D$33,MATCH($C172,'Parameters | Agora'!$A$25:$A$33,0),MATCH(F$1,'Parameters | Agora'!$B$24:$D$24,0))</f>
        <v>5.2999999999999999E-2</v>
      </c>
      <c r="G172" s="44">
        <f>INDEX('Parameters | Agora'!$B$25:$D$33,MATCH($C172,'Parameters | Agora'!$A$25:$A$33,0),MATCH(G$1,'Parameters | Agora'!$B$24:$D$24,0))</f>
        <v>0.14799999999999999</v>
      </c>
      <c r="H172" s="42">
        <v>67200</v>
      </c>
      <c r="I172" s="8">
        <f>'Parameters | Agora'!$B$22</f>
        <v>1080</v>
      </c>
      <c r="J172" s="15">
        <f>'Parameters | Agora'!$B$21</f>
        <v>20</v>
      </c>
      <c r="K172" s="45">
        <f t="shared" si="8"/>
        <v>169.24444444444447</v>
      </c>
      <c r="L172" s="45">
        <f t="shared" si="6"/>
        <v>65.955555555555549</v>
      </c>
      <c r="M172" s="45">
        <f t="shared" si="7"/>
        <v>184.17777777777781</v>
      </c>
      <c r="N172" s="46">
        <f>E172*$H172/'Parameters | Agora'!$B$19*$J172</f>
        <v>1015.4666666666668</v>
      </c>
      <c r="O172" s="46">
        <f>F172*$H172/'Parameters | Agora'!$B$19*$J172</f>
        <v>395.73333333333329</v>
      </c>
      <c r="P172" s="46">
        <f>G172*$H172/'Parameters | Agora'!$B$19*$J172</f>
        <v>1105.0666666666668</v>
      </c>
    </row>
    <row r="173" spans="1:16">
      <c r="A173" s="43" t="s">
        <v>606</v>
      </c>
      <c r="B173" s="43" t="s">
        <v>607</v>
      </c>
      <c r="C173" s="43" t="s">
        <v>114</v>
      </c>
      <c r="D173" s="43" t="s">
        <v>325</v>
      </c>
      <c r="E173" s="44">
        <f>INDEX('Parameters | Agora'!$B$25:$D$33,MATCH($C173,'Parameters | Agora'!$A$25:$A$33,0),MATCH(E$1,'Parameters | Agora'!$B$24:$D$24,0))</f>
        <v>0.13600000000000001</v>
      </c>
      <c r="F173" s="44">
        <f>INDEX('Parameters | Agora'!$B$25:$D$33,MATCH($C173,'Parameters | Agora'!$A$25:$A$33,0),MATCH(F$1,'Parameters | Agora'!$B$24:$D$24,0))</f>
        <v>5.2999999999999999E-2</v>
      </c>
      <c r="G173" s="44">
        <f>INDEX('Parameters | Agora'!$B$25:$D$33,MATCH($C173,'Parameters | Agora'!$A$25:$A$33,0),MATCH(G$1,'Parameters | Agora'!$B$24:$D$24,0))</f>
        <v>0.14799999999999999</v>
      </c>
      <c r="H173" s="42">
        <v>2210</v>
      </c>
      <c r="I173" s="8">
        <f>'Parameters | Agora'!$B$22</f>
        <v>1080</v>
      </c>
      <c r="J173" s="15">
        <f>'Parameters | Agora'!$B$21</f>
        <v>20</v>
      </c>
      <c r="K173" s="45">
        <f t="shared" si="8"/>
        <v>5.5659259259259262</v>
      </c>
      <c r="L173" s="45">
        <f t="shared" si="6"/>
        <v>2.1690740740740742</v>
      </c>
      <c r="M173" s="45">
        <f t="shared" si="7"/>
        <v>6.0570370370370359</v>
      </c>
      <c r="N173" s="46">
        <f>E173*$H173/'Parameters | Agora'!$B$19*$J173</f>
        <v>33.395555555555553</v>
      </c>
      <c r="O173" s="46">
        <f>F173*$H173/'Parameters | Agora'!$B$19*$J173</f>
        <v>13.014444444444443</v>
      </c>
      <c r="P173" s="46">
        <f>G173*$H173/'Parameters | Agora'!$B$19*$J173</f>
        <v>36.342222222222219</v>
      </c>
    </row>
    <row r="174" spans="1:16">
      <c r="A174" s="43" t="s">
        <v>598</v>
      </c>
      <c r="B174" s="43" t="s">
        <v>599</v>
      </c>
      <c r="C174" s="43" t="s">
        <v>119</v>
      </c>
      <c r="D174" s="43" t="s">
        <v>319</v>
      </c>
      <c r="E174" s="44">
        <f>INDEX('Parameters | Agora'!$B$25:$D$33,MATCH($C174,'Parameters | Agora'!$A$25:$A$33,0),MATCH(E$1,'Parameters | Agora'!$B$24:$D$24,0))</f>
        <v>0.14399999999999999</v>
      </c>
      <c r="F174" s="44">
        <f>INDEX('Parameters | Agora'!$B$25:$D$33,MATCH($C174,'Parameters | Agora'!$A$25:$A$33,0),MATCH(F$1,'Parameters | Agora'!$B$24:$D$24,0))</f>
        <v>0.106</v>
      </c>
      <c r="G174" s="44">
        <f>INDEX('Parameters | Agora'!$B$25:$D$33,MATCH($C174,'Parameters | Agora'!$A$25:$A$33,0),MATCH(G$1,'Parameters | Agora'!$B$24:$D$24,0))</f>
        <v>0.21</v>
      </c>
      <c r="H174" s="42">
        <v>600</v>
      </c>
      <c r="I174" s="8">
        <f>'Parameters | Agora'!$B$22</f>
        <v>1080</v>
      </c>
      <c r="J174" s="15">
        <f>'Parameters | Agora'!$B$21</f>
        <v>20</v>
      </c>
      <c r="K174" s="45">
        <f t="shared" si="8"/>
        <v>1.5999999999999996</v>
      </c>
      <c r="L174" s="45">
        <f t="shared" si="6"/>
        <v>1.1777777777777778</v>
      </c>
      <c r="M174" s="45">
        <f t="shared" si="7"/>
        <v>2.3333333333333335</v>
      </c>
      <c r="N174" s="46">
        <f>E174*$H174/'Parameters | Agora'!$B$19*$J174</f>
        <v>9.5999999999999979</v>
      </c>
      <c r="O174" s="46">
        <f>F174*$H174/'Parameters | Agora'!$B$19*$J174</f>
        <v>7.0666666666666664</v>
      </c>
      <c r="P174" s="46">
        <f>G174*$H174/'Parameters | Agora'!$B$19*$J174</f>
        <v>14</v>
      </c>
    </row>
    <row r="175" spans="1:16">
      <c r="A175" s="43" t="s">
        <v>418</v>
      </c>
      <c r="B175" s="43" t="s">
        <v>419</v>
      </c>
      <c r="C175" s="43" t="s">
        <v>116</v>
      </c>
      <c r="D175" s="43" t="s">
        <v>322</v>
      </c>
      <c r="E175" s="44">
        <f>INDEX('Parameters | Agora'!$B$25:$D$33,MATCH($C175,'Parameters | Agora'!$A$25:$A$33,0),MATCH(E$1,'Parameters | Agora'!$B$24:$D$24,0))</f>
        <v>7.8E-2</v>
      </c>
      <c r="F175" s="44">
        <f>INDEX('Parameters | Agora'!$B$25:$D$33,MATCH($C175,'Parameters | Agora'!$A$25:$A$33,0),MATCH(F$1,'Parameters | Agora'!$B$24:$D$24,0))</f>
        <v>5.3999999999999999E-2</v>
      </c>
      <c r="G175" s="44">
        <f>INDEX('Parameters | Agora'!$B$25:$D$33,MATCH($C175,'Parameters | Agora'!$A$25:$A$33,0),MATCH(G$1,'Parameters | Agora'!$B$24:$D$24,0))</f>
        <v>0.159</v>
      </c>
      <c r="H175" s="42">
        <v>4720</v>
      </c>
      <c r="I175" s="8">
        <f>'Parameters | Agora'!$B$22</f>
        <v>1080</v>
      </c>
      <c r="J175" s="15">
        <f>'Parameters | Agora'!$B$21</f>
        <v>20</v>
      </c>
      <c r="K175" s="45">
        <f t="shared" si="8"/>
        <v>6.8177777777777777</v>
      </c>
      <c r="L175" s="45">
        <f t="shared" si="6"/>
        <v>4.72</v>
      </c>
      <c r="M175" s="45">
        <f t="shared" si="7"/>
        <v>13.897777777777778</v>
      </c>
      <c r="N175" s="46">
        <f>E175*$H175/'Parameters | Agora'!$B$19*$J175</f>
        <v>40.906666666666673</v>
      </c>
      <c r="O175" s="46">
        <f>F175*$H175/'Parameters | Agora'!$B$19*$J175</f>
        <v>28.32</v>
      </c>
      <c r="P175" s="46">
        <f>G175*$H175/'Parameters | Agora'!$B$19*$J175</f>
        <v>83.38666666666667</v>
      </c>
    </row>
    <row r="176" spans="1:16">
      <c r="A176" s="43" t="s">
        <v>718</v>
      </c>
      <c r="B176" s="43" t="s">
        <v>719</v>
      </c>
      <c r="C176" s="43" t="s">
        <v>115</v>
      </c>
      <c r="D176" s="43" t="s">
        <v>121</v>
      </c>
      <c r="E176" s="44">
        <f>INDEX('Parameters | Agora'!$B$25:$D$33,MATCH($C176,'Parameters | Agora'!$A$25:$A$33,0),MATCH(E$1,'Parameters | Agora'!$B$24:$D$24,0))</f>
        <v>0.13900000000000001</v>
      </c>
      <c r="F176" s="44">
        <f>INDEX('Parameters | Agora'!$B$25:$D$33,MATCH($C176,'Parameters | Agora'!$A$25:$A$33,0),MATCH(F$1,'Parameters | Agora'!$B$24:$D$24,0))</f>
        <v>4.7E-2</v>
      </c>
      <c r="G176" s="44">
        <f>INDEX('Parameters | Agora'!$B$25:$D$33,MATCH($C176,'Parameters | Agora'!$A$25:$A$33,0),MATCH(G$1,'Parameters | Agora'!$B$24:$D$24,0))</f>
        <v>0.10299999999999999</v>
      </c>
      <c r="H176" s="42">
        <v>47120</v>
      </c>
      <c r="I176" s="8">
        <f>'Parameters | Agora'!$B$22</f>
        <v>1080</v>
      </c>
      <c r="J176" s="15">
        <f>'Parameters | Agora'!$B$21</f>
        <v>20</v>
      </c>
      <c r="K176" s="45">
        <f t="shared" si="8"/>
        <v>121.29037037037037</v>
      </c>
      <c r="L176" s="45">
        <f t="shared" si="6"/>
        <v>41.011851851851844</v>
      </c>
      <c r="M176" s="45">
        <f t="shared" si="7"/>
        <v>89.877037037037027</v>
      </c>
      <c r="N176" s="46">
        <f>E176*$H176/'Parameters | Agora'!$B$19*$J176</f>
        <v>727.74222222222215</v>
      </c>
      <c r="O176" s="46">
        <f>F176*$H176/'Parameters | Agora'!$B$19*$J176</f>
        <v>246.07111111111109</v>
      </c>
      <c r="P176" s="46">
        <f>G176*$H176/'Parameters | Agora'!$B$19*$J176</f>
        <v>539.26222222222225</v>
      </c>
    </row>
    <row r="177" spans="1:16">
      <c r="A177" s="43" t="s">
        <v>608</v>
      </c>
      <c r="B177" s="43" t="s">
        <v>609</v>
      </c>
      <c r="C177" s="43" t="s">
        <v>119</v>
      </c>
      <c r="D177" s="43" t="s">
        <v>319</v>
      </c>
      <c r="E177" s="44">
        <f>INDEX('Parameters | Agora'!$B$25:$D$33,MATCH($C177,'Parameters | Agora'!$A$25:$A$33,0),MATCH(E$1,'Parameters | Agora'!$B$24:$D$24,0))</f>
        <v>0.14399999999999999</v>
      </c>
      <c r="F177" s="44">
        <f>INDEX('Parameters | Agora'!$B$25:$D$33,MATCH($C177,'Parameters | Agora'!$A$25:$A$33,0),MATCH(F$1,'Parameters | Agora'!$B$24:$D$24,0))</f>
        <v>0.106</v>
      </c>
      <c r="G177" s="44">
        <f>INDEX('Parameters | Agora'!$B$25:$D$33,MATCH($C177,'Parameters | Agora'!$A$25:$A$33,0),MATCH(G$1,'Parameters | Agora'!$B$24:$D$24,0))</f>
        <v>0.21</v>
      </c>
      <c r="H177" s="42">
        <v>600</v>
      </c>
      <c r="I177" s="8">
        <f>'Parameters | Agora'!$B$22</f>
        <v>1080</v>
      </c>
      <c r="J177" s="15">
        <f>'Parameters | Agora'!$B$21</f>
        <v>20</v>
      </c>
      <c r="K177" s="45">
        <f t="shared" si="8"/>
        <v>1.5999999999999996</v>
      </c>
      <c r="L177" s="45">
        <f t="shared" si="6"/>
        <v>1.1777777777777778</v>
      </c>
      <c r="M177" s="45">
        <f t="shared" si="7"/>
        <v>2.3333333333333335</v>
      </c>
      <c r="N177" s="46">
        <f>E177*$H177/'Parameters | Agora'!$B$19*$J177</f>
        <v>9.5999999999999979</v>
      </c>
      <c r="O177" s="46">
        <f>F177*$H177/'Parameters | Agora'!$B$19*$J177</f>
        <v>7.0666666666666664</v>
      </c>
      <c r="P177" s="46">
        <f>G177*$H177/'Parameters | Agora'!$B$19*$J177</f>
        <v>14</v>
      </c>
    </row>
    <row r="178" spans="1:16">
      <c r="A178" s="43" t="s">
        <v>594</v>
      </c>
      <c r="B178" s="43" t="s">
        <v>595</v>
      </c>
      <c r="C178" s="43" t="s">
        <v>115</v>
      </c>
      <c r="D178" s="43" t="s">
        <v>322</v>
      </c>
      <c r="E178" s="44">
        <f>INDEX('Parameters | Agora'!$B$25:$D$33,MATCH($C178,'Parameters | Agora'!$A$25:$A$33,0),MATCH(E$1,'Parameters | Agora'!$B$24:$D$24,0))</f>
        <v>0.13900000000000001</v>
      </c>
      <c r="F178" s="44">
        <f>INDEX('Parameters | Agora'!$B$25:$D$33,MATCH($C178,'Parameters | Agora'!$A$25:$A$33,0),MATCH(F$1,'Parameters | Agora'!$B$24:$D$24,0))</f>
        <v>4.7E-2</v>
      </c>
      <c r="G178" s="44">
        <f>INDEX('Parameters | Agora'!$B$25:$D$33,MATCH($C178,'Parameters | Agora'!$A$25:$A$33,0),MATCH(G$1,'Parameters | Agora'!$B$24:$D$24,0))</f>
        <v>0.10299999999999999</v>
      </c>
      <c r="H178" s="42">
        <v>9290</v>
      </c>
      <c r="I178" s="8">
        <f>'Parameters | Agora'!$B$22</f>
        <v>1080</v>
      </c>
      <c r="J178" s="15">
        <f>'Parameters | Agora'!$B$21</f>
        <v>20</v>
      </c>
      <c r="K178" s="45">
        <f t="shared" si="8"/>
        <v>23.913148148148153</v>
      </c>
      <c r="L178" s="45">
        <f t="shared" si="6"/>
        <v>8.0857407407407411</v>
      </c>
      <c r="M178" s="45">
        <f t="shared" si="7"/>
        <v>17.719814814814814</v>
      </c>
      <c r="N178" s="46">
        <f>E178*$H178/'Parameters | Agora'!$B$19*$J178</f>
        <v>143.47888888888892</v>
      </c>
      <c r="O178" s="46">
        <f>F178*$H178/'Parameters | Agora'!$B$19*$J178</f>
        <v>48.51444444444445</v>
      </c>
      <c r="P178" s="46">
        <f>G178*$H178/'Parameters | Agora'!$B$19*$J178</f>
        <v>106.31888888888888</v>
      </c>
    </row>
    <row r="179" spans="1:16">
      <c r="A179" s="43" t="s">
        <v>716</v>
      </c>
      <c r="B179" s="43" t="s">
        <v>717</v>
      </c>
      <c r="C179" s="43" t="s">
        <v>119</v>
      </c>
      <c r="D179" s="43" t="s">
        <v>319</v>
      </c>
      <c r="E179" s="44">
        <f>INDEX('Parameters | Agora'!$B$25:$D$33,MATCH($C179,'Parameters | Agora'!$A$25:$A$33,0),MATCH(E$1,'Parameters | Agora'!$B$24:$D$24,0))</f>
        <v>0.14399999999999999</v>
      </c>
      <c r="F179" s="44">
        <f>INDEX('Parameters | Agora'!$B$25:$D$33,MATCH($C179,'Parameters | Agora'!$A$25:$A$33,0),MATCH(F$1,'Parameters | Agora'!$B$24:$D$24,0))</f>
        <v>0.106</v>
      </c>
      <c r="G179" s="44">
        <f>INDEX('Parameters | Agora'!$B$25:$D$33,MATCH($C179,'Parameters | Agora'!$A$25:$A$33,0),MATCH(G$1,'Parameters | Agora'!$B$24:$D$24,0))</f>
        <v>0.21</v>
      </c>
      <c r="H179" s="42">
        <v>763.07400000000018</v>
      </c>
      <c r="I179" s="8">
        <f>'Parameters | Agora'!$B$22</f>
        <v>1080</v>
      </c>
      <c r="J179" s="15">
        <f>'Parameters | Agora'!$B$21</f>
        <v>20</v>
      </c>
      <c r="K179" s="45">
        <f t="shared" si="8"/>
        <v>2.0348640000000002</v>
      </c>
      <c r="L179" s="45">
        <f t="shared" si="6"/>
        <v>1.4978860000000005</v>
      </c>
      <c r="M179" s="45">
        <f t="shared" si="7"/>
        <v>2.9675100000000003</v>
      </c>
      <c r="N179" s="46">
        <f>E179*$H179/'Parameters | Agora'!$B$19*$J179</f>
        <v>12.209184000000002</v>
      </c>
      <c r="O179" s="46">
        <f>F179*$H179/'Parameters | Agora'!$B$19*$J179</f>
        <v>8.9873160000000016</v>
      </c>
      <c r="P179" s="46">
        <f>G179*$H179/'Parameters | Agora'!$B$19*$J179</f>
        <v>17.805060000000005</v>
      </c>
    </row>
    <row r="180" spans="1:16">
      <c r="A180" s="43" t="s">
        <v>767</v>
      </c>
      <c r="B180" s="43" t="s">
        <v>589</v>
      </c>
      <c r="C180" s="43" t="s">
        <v>119</v>
      </c>
      <c r="D180" s="43" t="s">
        <v>325</v>
      </c>
      <c r="E180" s="44">
        <f>INDEX('Parameters | Agora'!$B$25:$D$33,MATCH($C180,'Parameters | Agora'!$A$25:$A$33,0),MATCH(E$1,'Parameters | Agora'!$B$24:$D$24,0))</f>
        <v>0.14399999999999999</v>
      </c>
      <c r="F180" s="44">
        <f>INDEX('Parameters | Agora'!$B$25:$D$33,MATCH($C180,'Parameters | Agora'!$A$25:$A$33,0),MATCH(F$1,'Parameters | Agora'!$B$24:$D$24,0))</f>
        <v>0.106</v>
      </c>
      <c r="G180" s="44">
        <f>INDEX('Parameters | Agora'!$B$25:$D$33,MATCH($C180,'Parameters | Agora'!$A$25:$A$33,0),MATCH(G$1,'Parameters | Agora'!$B$24:$D$24,0))</f>
        <v>0.21</v>
      </c>
      <c r="H180" s="42">
        <v>2400</v>
      </c>
      <c r="I180" s="8">
        <f>'Parameters | Agora'!$B$22</f>
        <v>1080</v>
      </c>
      <c r="J180" s="15">
        <f>'Parameters | Agora'!$B$21</f>
        <v>20</v>
      </c>
      <c r="K180" s="45">
        <f t="shared" si="8"/>
        <v>6.3999999999999986</v>
      </c>
      <c r="L180" s="45">
        <f t="shared" si="6"/>
        <v>4.7111111111111112</v>
      </c>
      <c r="M180" s="45">
        <f t="shared" si="7"/>
        <v>9.3333333333333339</v>
      </c>
      <c r="N180" s="46">
        <f>E180*$H180/'Parameters | Agora'!$B$19*$J180</f>
        <v>38.399999999999991</v>
      </c>
      <c r="O180" s="46">
        <f>F180*$H180/'Parameters | Agora'!$B$19*$J180</f>
        <v>28.266666666666666</v>
      </c>
      <c r="P180" s="46">
        <f>G180*$H180/'Parameters | Agora'!$B$19*$J180</f>
        <v>56</v>
      </c>
    </row>
    <row r="181" spans="1:16">
      <c r="A181" s="43" t="s">
        <v>624</v>
      </c>
      <c r="B181" s="43" t="s">
        <v>625</v>
      </c>
      <c r="C181" s="43" t="s">
        <v>116</v>
      </c>
      <c r="D181" s="43" t="s">
        <v>322</v>
      </c>
      <c r="E181" s="44">
        <f>INDEX('Parameters | Agora'!$B$25:$D$33,MATCH($C181,'Parameters | Agora'!$A$25:$A$33,0),MATCH(E$1,'Parameters | Agora'!$B$24:$D$24,0))</f>
        <v>7.8E-2</v>
      </c>
      <c r="F181" s="44">
        <f>INDEX('Parameters | Agora'!$B$25:$D$33,MATCH($C181,'Parameters | Agora'!$A$25:$A$33,0),MATCH(F$1,'Parameters | Agora'!$B$24:$D$24,0))</f>
        <v>5.3999999999999999E-2</v>
      </c>
      <c r="G181" s="44">
        <f>INDEX('Parameters | Agora'!$B$25:$D$33,MATCH($C181,'Parameters | Agora'!$A$25:$A$33,0),MATCH(G$1,'Parameters | Agora'!$B$24:$D$24,0))</f>
        <v>0.159</v>
      </c>
      <c r="H181" s="42">
        <v>4970</v>
      </c>
      <c r="I181" s="8">
        <f>'Parameters | Agora'!$B$22</f>
        <v>1080</v>
      </c>
      <c r="J181" s="15">
        <f>'Parameters | Agora'!$B$21</f>
        <v>20</v>
      </c>
      <c r="K181" s="45">
        <f t="shared" si="8"/>
        <v>7.1788888888888893</v>
      </c>
      <c r="L181" s="45">
        <f t="shared" si="6"/>
        <v>4.97</v>
      </c>
      <c r="M181" s="45">
        <f t="shared" si="7"/>
        <v>14.633888888888889</v>
      </c>
      <c r="N181" s="46">
        <f>E181*$H181/'Parameters | Agora'!$B$19*$J181</f>
        <v>43.073333333333331</v>
      </c>
      <c r="O181" s="46">
        <f>F181*$H181/'Parameters | Agora'!$B$19*$J181</f>
        <v>29.819999999999997</v>
      </c>
      <c r="P181" s="46">
        <f>G181*$H181/'Parameters | Agora'!$B$19*$J181</f>
        <v>87.803333333333327</v>
      </c>
    </row>
    <row r="182" spans="1:16">
      <c r="A182" s="43" t="s">
        <v>602</v>
      </c>
      <c r="B182" s="43" t="s">
        <v>603</v>
      </c>
      <c r="C182" s="43" t="s">
        <v>115</v>
      </c>
      <c r="D182" s="43" t="s">
        <v>121</v>
      </c>
      <c r="E182" s="44">
        <f>INDEX('Parameters | Agora'!$B$25:$D$33,MATCH($C182,'Parameters | Agora'!$A$25:$A$33,0),MATCH(E$1,'Parameters | Agora'!$B$24:$D$24,0))</f>
        <v>0.13900000000000001</v>
      </c>
      <c r="F182" s="44">
        <f>INDEX('Parameters | Agora'!$B$25:$D$33,MATCH($C182,'Parameters | Agora'!$A$25:$A$33,0),MATCH(F$1,'Parameters | Agora'!$B$24:$D$24,0))</f>
        <v>4.7E-2</v>
      </c>
      <c r="G182" s="44">
        <f>INDEX('Parameters | Agora'!$B$25:$D$33,MATCH($C182,'Parameters | Agora'!$A$25:$A$33,0),MATCH(G$1,'Parameters | Agora'!$B$24:$D$24,0))</f>
        <v>0.10299999999999999</v>
      </c>
      <c r="H182" s="42">
        <v>22070</v>
      </c>
      <c r="I182" s="8">
        <f>'Parameters | Agora'!$B$22</f>
        <v>1080</v>
      </c>
      <c r="J182" s="15">
        <f>'Parameters | Agora'!$B$21</f>
        <v>20</v>
      </c>
      <c r="K182" s="45">
        <f t="shared" si="8"/>
        <v>56.809814814814821</v>
      </c>
      <c r="L182" s="45">
        <f t="shared" si="6"/>
        <v>19.209074074074074</v>
      </c>
      <c r="M182" s="45">
        <f t="shared" si="7"/>
        <v>42.096481481481483</v>
      </c>
      <c r="N182" s="46">
        <f>E182*$H182/'Parameters | Agora'!$B$19*$J182</f>
        <v>340.85888888888894</v>
      </c>
      <c r="O182" s="46">
        <f>F182*$H182/'Parameters | Agora'!$B$19*$J182</f>
        <v>115.25444444444445</v>
      </c>
      <c r="P182" s="46">
        <f>G182*$H182/'Parameters | Agora'!$B$19*$J182</f>
        <v>252.57888888888888</v>
      </c>
    </row>
    <row r="183" spans="1:16">
      <c r="A183" s="43" t="s">
        <v>604</v>
      </c>
      <c r="B183" s="43" t="s">
        <v>605</v>
      </c>
      <c r="C183" s="43" t="s">
        <v>115</v>
      </c>
      <c r="D183" s="43" t="s">
        <v>121</v>
      </c>
      <c r="E183" s="44">
        <f>INDEX('Parameters | Agora'!$B$25:$D$33,MATCH($C183,'Parameters | Agora'!$A$25:$A$33,0),MATCH(E$1,'Parameters | Agora'!$B$24:$D$24,0))</f>
        <v>0.13900000000000001</v>
      </c>
      <c r="F183" s="44">
        <f>INDEX('Parameters | Agora'!$B$25:$D$33,MATCH($C183,'Parameters | Agora'!$A$25:$A$33,0),MATCH(F$1,'Parameters | Agora'!$B$24:$D$24,0))</f>
        <v>4.7E-2</v>
      </c>
      <c r="G183" s="44">
        <f>INDEX('Parameters | Agora'!$B$25:$D$33,MATCH($C183,'Parameters | Agora'!$A$25:$A$33,0),MATCH(G$1,'Parameters | Agora'!$B$24:$D$24,0))</f>
        <v>0.10299999999999999</v>
      </c>
      <c r="H183" s="42">
        <v>29590</v>
      </c>
      <c r="I183" s="8">
        <f>'Parameters | Agora'!$B$22</f>
        <v>1080</v>
      </c>
      <c r="J183" s="15">
        <f>'Parameters | Agora'!$B$21</f>
        <v>20</v>
      </c>
      <c r="K183" s="45">
        <f t="shared" si="8"/>
        <v>76.16685185185186</v>
      </c>
      <c r="L183" s="45">
        <f t="shared" si="6"/>
        <v>25.754259259259257</v>
      </c>
      <c r="M183" s="45">
        <f t="shared" si="7"/>
        <v>56.440185185185186</v>
      </c>
      <c r="N183" s="46">
        <f>E183*$H183/'Parameters | Agora'!$B$19*$J183</f>
        <v>457.00111111111113</v>
      </c>
      <c r="O183" s="46">
        <f>F183*$H183/'Parameters | Agora'!$B$19*$J183</f>
        <v>154.52555555555557</v>
      </c>
      <c r="P183" s="46">
        <f>G183*$H183/'Parameters | Agora'!$B$19*$J183</f>
        <v>338.64111111111117</v>
      </c>
    </row>
    <row r="184" spans="1:16">
      <c r="A184" s="43" t="s">
        <v>628</v>
      </c>
      <c r="B184" s="43" t="s">
        <v>629</v>
      </c>
      <c r="C184" s="43" t="s">
        <v>115</v>
      </c>
      <c r="D184" s="43" t="s">
        <v>121</v>
      </c>
      <c r="E184" s="44">
        <f>INDEX('Parameters | Agora'!$B$25:$D$33,MATCH($C184,'Parameters | Agora'!$A$25:$A$33,0),MATCH(E$1,'Parameters | Agora'!$B$24:$D$24,0))</f>
        <v>0.13900000000000001</v>
      </c>
      <c r="F184" s="44">
        <f>INDEX('Parameters | Agora'!$B$25:$D$33,MATCH($C184,'Parameters | Agora'!$A$25:$A$33,0),MATCH(F$1,'Parameters | Agora'!$B$24:$D$24,0))</f>
        <v>4.7E-2</v>
      </c>
      <c r="G184" s="44">
        <f>INDEX('Parameters | Agora'!$B$25:$D$33,MATCH($C184,'Parameters | Agora'!$A$25:$A$33,0),MATCH(G$1,'Parameters | Agora'!$B$24:$D$24,0))</f>
        <v>0.10299999999999999</v>
      </c>
      <c r="H184" s="42">
        <v>63500</v>
      </c>
      <c r="I184" s="8">
        <f>'Parameters | Agora'!$B$22</f>
        <v>1080</v>
      </c>
      <c r="J184" s="15">
        <f>'Parameters | Agora'!$B$21</f>
        <v>20</v>
      </c>
      <c r="K184" s="45">
        <f t="shared" si="8"/>
        <v>163.45370370370372</v>
      </c>
      <c r="L184" s="45">
        <f t="shared" si="6"/>
        <v>55.268518518518519</v>
      </c>
      <c r="M184" s="45">
        <f t="shared" si="7"/>
        <v>121.12037037037038</v>
      </c>
      <c r="N184" s="46">
        <f>E184*$H184/'Parameters | Agora'!$B$19*$J184</f>
        <v>980.72222222222217</v>
      </c>
      <c r="O184" s="46">
        <f>F184*$H184/'Parameters | Agora'!$B$19*$J184</f>
        <v>331.61111111111109</v>
      </c>
      <c r="P184" s="46">
        <f>G184*$H184/'Parameters | Agora'!$B$19*$J184</f>
        <v>726.72222222222217</v>
      </c>
    </row>
    <row r="185" spans="1:16">
      <c r="A185" s="43" t="s">
        <v>768</v>
      </c>
      <c r="B185" s="43" t="s">
        <v>627</v>
      </c>
      <c r="C185" s="43" t="s">
        <v>119</v>
      </c>
      <c r="D185" s="43" t="s">
        <v>325</v>
      </c>
      <c r="E185" s="44">
        <f>INDEX('Parameters | Agora'!$B$25:$D$33,MATCH($C185,'Parameters | Agora'!$A$25:$A$33,0),MATCH(E$1,'Parameters | Agora'!$B$24:$D$24,0))</f>
        <v>0.14399999999999999</v>
      </c>
      <c r="F185" s="44">
        <f>INDEX('Parameters | Agora'!$B$25:$D$33,MATCH($C185,'Parameters | Agora'!$A$25:$A$33,0),MATCH(F$1,'Parameters | Agora'!$B$24:$D$24,0))</f>
        <v>0.106</v>
      </c>
      <c r="G185" s="44">
        <f>INDEX('Parameters | Agora'!$B$25:$D$33,MATCH($C185,'Parameters | Agora'!$A$25:$A$33,0),MATCH(G$1,'Parameters | Agora'!$B$24:$D$24,0))</f>
        <v>0.21</v>
      </c>
      <c r="H185" s="42">
        <v>3750</v>
      </c>
      <c r="I185" s="8">
        <f>'Parameters | Agora'!$B$22</f>
        <v>1080</v>
      </c>
      <c r="J185" s="15">
        <f>'Parameters | Agora'!$B$21</f>
        <v>20</v>
      </c>
      <c r="K185" s="45">
        <f t="shared" si="8"/>
        <v>10</v>
      </c>
      <c r="L185" s="45">
        <f t="shared" si="6"/>
        <v>7.3611111111111116</v>
      </c>
      <c r="M185" s="45">
        <f t="shared" si="7"/>
        <v>14.583333333333332</v>
      </c>
      <c r="N185" s="46">
        <f>E185*$H185/'Parameters | Agora'!$B$19*$J185</f>
        <v>60</v>
      </c>
      <c r="O185" s="46">
        <f>F185*$H185/'Parameters | Agora'!$B$19*$J185</f>
        <v>44.166666666666671</v>
      </c>
      <c r="P185" s="46">
        <f>G185*$H185/'Parameters | Agora'!$B$19*$J185</f>
        <v>87.5</v>
      </c>
    </row>
    <row r="186" spans="1:16">
      <c r="A186" s="43" t="s">
        <v>769</v>
      </c>
      <c r="B186" s="43" t="s">
        <v>770</v>
      </c>
      <c r="C186" s="43" t="s">
        <v>116</v>
      </c>
      <c r="D186" s="43" t="s">
        <v>121</v>
      </c>
      <c r="E186" s="44">
        <f>INDEX('Parameters | Agora'!$B$25:$D$33,MATCH($C186,'Parameters | Agora'!$A$25:$A$33,0),MATCH(E$1,'Parameters | Agora'!$B$24:$D$24,0))</f>
        <v>7.8E-2</v>
      </c>
      <c r="F186" s="44">
        <f>INDEX('Parameters | Agora'!$B$25:$D$33,MATCH($C186,'Parameters | Agora'!$A$25:$A$33,0),MATCH(F$1,'Parameters | Agora'!$B$24:$D$24,0))</f>
        <v>5.3999999999999999E-2</v>
      </c>
      <c r="G186" s="44">
        <f>INDEX('Parameters | Agora'!$B$25:$D$33,MATCH($C186,'Parameters | Agora'!$A$25:$A$33,0),MATCH(G$1,'Parameters | Agora'!$B$24:$D$24,0))</f>
        <v>0.159</v>
      </c>
      <c r="H186" s="42">
        <v>35260</v>
      </c>
      <c r="I186" s="8">
        <f>'Parameters | Agora'!$B$22</f>
        <v>1080</v>
      </c>
      <c r="J186" s="15">
        <f>'Parameters | Agora'!$B$21</f>
        <v>20</v>
      </c>
      <c r="K186" s="45">
        <f t="shared" si="8"/>
        <v>50.931111111111122</v>
      </c>
      <c r="L186" s="45">
        <f t="shared" si="6"/>
        <v>35.26</v>
      </c>
      <c r="M186" s="45">
        <f t="shared" si="7"/>
        <v>103.82111111111112</v>
      </c>
      <c r="N186" s="46">
        <f>E186*$H186/'Parameters | Agora'!$B$19*$J186</f>
        <v>305.5866666666667</v>
      </c>
      <c r="O186" s="46">
        <f>F186*$H186/'Parameters | Agora'!$B$19*$J186</f>
        <v>211.56</v>
      </c>
      <c r="P186" s="46">
        <f>G186*$H186/'Parameters | Agora'!$B$19*$J186</f>
        <v>622.92666666666673</v>
      </c>
    </row>
    <row r="187" spans="1:16">
      <c r="A187" s="43" t="s">
        <v>596</v>
      </c>
      <c r="B187" s="43" t="s">
        <v>597</v>
      </c>
      <c r="C187" s="43" t="s">
        <v>119</v>
      </c>
      <c r="D187" s="43" t="s">
        <v>121</v>
      </c>
      <c r="E187" s="44">
        <f>INDEX('Parameters | Agora'!$B$25:$D$33,MATCH($C187,'Parameters | Agora'!$A$25:$A$33,0),MATCH(E$1,'Parameters | Agora'!$B$24:$D$24,0))</f>
        <v>0.14399999999999999</v>
      </c>
      <c r="F187" s="44">
        <f>INDEX('Parameters | Agora'!$B$25:$D$33,MATCH($C187,'Parameters | Agora'!$A$25:$A$33,0),MATCH(F$1,'Parameters | Agora'!$B$24:$D$24,0))</f>
        <v>0.106</v>
      </c>
      <c r="G187" s="44">
        <f>INDEX('Parameters | Agora'!$B$25:$D$33,MATCH($C187,'Parameters | Agora'!$A$25:$A$33,0),MATCH(G$1,'Parameters | Agora'!$B$24:$D$24,0))</f>
        <v>0.21</v>
      </c>
      <c r="H187" s="42">
        <v>12010</v>
      </c>
      <c r="I187" s="8">
        <f>'Parameters | Agora'!$B$22</f>
        <v>1080</v>
      </c>
      <c r="J187" s="15">
        <f>'Parameters | Agora'!$B$21</f>
        <v>20</v>
      </c>
      <c r="K187" s="45">
        <f t="shared" si="8"/>
        <v>32.026666666666664</v>
      </c>
      <c r="L187" s="45">
        <f t="shared" si="6"/>
        <v>23.575185185185184</v>
      </c>
      <c r="M187" s="45">
        <f t="shared" si="7"/>
        <v>46.705555555555556</v>
      </c>
      <c r="N187" s="46">
        <f>E187*$H187/'Parameters | Agora'!$B$19*$J187</f>
        <v>192.15999999999997</v>
      </c>
      <c r="O187" s="46">
        <f>F187*$H187/'Parameters | Agora'!$B$19*$J187</f>
        <v>141.45111111111109</v>
      </c>
      <c r="P187" s="46">
        <f>G187*$H187/'Parameters | Agora'!$B$19*$J187</f>
        <v>280.23333333333335</v>
      </c>
    </row>
    <row r="188" spans="1:16">
      <c r="A188" s="43" t="s">
        <v>632</v>
      </c>
      <c r="B188" s="43" t="s">
        <v>633</v>
      </c>
      <c r="C188" s="43" t="s">
        <v>117</v>
      </c>
      <c r="D188" s="43" t="s">
        <v>319</v>
      </c>
      <c r="E188" s="44">
        <f>INDEX('Parameters | Agora'!$B$25:$D$33,MATCH($C188,'Parameters | Agora'!$A$25:$A$33,0),MATCH(E$1,'Parameters | Agora'!$B$24:$D$24,0))</f>
        <v>0.16</v>
      </c>
      <c r="F188" s="44">
        <f>INDEX('Parameters | Agora'!$B$25:$D$33,MATCH($C188,'Parameters | Agora'!$A$25:$A$33,0),MATCH(F$1,'Parameters | Agora'!$B$24:$D$24,0))</f>
        <v>4.4999999999999998E-2</v>
      </c>
      <c r="G188" s="44">
        <f>INDEX('Parameters | Agora'!$B$25:$D$33,MATCH($C188,'Parameters | Agora'!$A$25:$A$33,0),MATCH(G$1,'Parameters | Agora'!$B$24:$D$24,0))</f>
        <v>0.105</v>
      </c>
      <c r="H188" s="42">
        <v>560</v>
      </c>
      <c r="I188" s="8">
        <f>'Parameters | Agora'!$B$22</f>
        <v>1080</v>
      </c>
      <c r="J188" s="15">
        <f>'Parameters | Agora'!$B$21</f>
        <v>20</v>
      </c>
      <c r="K188" s="45">
        <f t="shared" si="8"/>
        <v>1.6592592592592594</v>
      </c>
      <c r="L188" s="45">
        <f t="shared" si="6"/>
        <v>0.46666666666666667</v>
      </c>
      <c r="M188" s="45">
        <f t="shared" si="7"/>
        <v>1.0888888888888888</v>
      </c>
      <c r="N188" s="46">
        <f>E188*$H188/'Parameters | Agora'!$B$19*$J188</f>
        <v>9.9555555555555557</v>
      </c>
      <c r="O188" s="46">
        <f>F188*$H188/'Parameters | Agora'!$B$19*$J188</f>
        <v>2.8</v>
      </c>
      <c r="P188" s="46">
        <f>G188*$H188/'Parameters | Agora'!$B$19*$J188</f>
        <v>6.5333333333333332</v>
      </c>
    </row>
    <row r="189" spans="1:16">
      <c r="A189" s="43" t="s">
        <v>771</v>
      </c>
      <c r="B189" s="43" t="s">
        <v>772</v>
      </c>
      <c r="C189" s="43" t="s">
        <v>116</v>
      </c>
      <c r="D189" s="43" t="s">
        <v>121</v>
      </c>
      <c r="E189" s="44">
        <f>INDEX('Parameters | Agora'!$B$25:$D$33,MATCH($C189,'Parameters | Agora'!$A$25:$A$33,0),MATCH(E$1,'Parameters | Agora'!$B$24:$D$24,0))</f>
        <v>7.8E-2</v>
      </c>
      <c r="F189" s="44">
        <f>INDEX('Parameters | Agora'!$B$25:$D$33,MATCH($C189,'Parameters | Agora'!$A$25:$A$33,0),MATCH(F$1,'Parameters | Agora'!$B$24:$D$24,0))</f>
        <v>5.3999999999999999E-2</v>
      </c>
      <c r="G189" s="44">
        <f>INDEX('Parameters | Agora'!$B$25:$D$33,MATCH($C189,'Parameters | Agora'!$A$25:$A$33,0),MATCH(G$1,'Parameters | Agora'!$B$24:$D$24,0))</f>
        <v>0.159</v>
      </c>
      <c r="H189" s="42">
        <v>25240</v>
      </c>
      <c r="I189" s="8">
        <f>'Parameters | Agora'!$B$22</f>
        <v>1080</v>
      </c>
      <c r="J189" s="15">
        <f>'Parameters | Agora'!$B$21</f>
        <v>20</v>
      </c>
      <c r="K189" s="45">
        <f t="shared" si="8"/>
        <v>36.457777777777778</v>
      </c>
      <c r="L189" s="45">
        <f t="shared" si="6"/>
        <v>25.240000000000002</v>
      </c>
      <c r="M189" s="45">
        <f t="shared" si="7"/>
        <v>74.317777777777778</v>
      </c>
      <c r="N189" s="46">
        <f>E189*$H189/'Parameters | Agora'!$B$19*$J189</f>
        <v>218.74666666666667</v>
      </c>
      <c r="O189" s="46">
        <f>F189*$H189/'Parameters | Agora'!$B$19*$J189</f>
        <v>151.44</v>
      </c>
      <c r="P189" s="46">
        <f>G189*$H189/'Parameters | Agora'!$B$19*$J189</f>
        <v>445.90666666666664</v>
      </c>
    </row>
    <row r="190" spans="1:16">
      <c r="A190" s="43" t="s">
        <v>382</v>
      </c>
      <c r="B190" s="43" t="s">
        <v>383</v>
      </c>
      <c r="C190" s="43" t="s">
        <v>119</v>
      </c>
      <c r="D190" s="43" t="s">
        <v>319</v>
      </c>
      <c r="E190" s="44">
        <f>INDEX('Parameters | Agora'!$B$25:$D$33,MATCH($C190,'Parameters | Agora'!$A$25:$A$33,0),MATCH(E$1,'Parameters | Agora'!$B$24:$D$24,0))</f>
        <v>0.14399999999999999</v>
      </c>
      <c r="F190" s="44">
        <f>INDEX('Parameters | Agora'!$B$25:$D$33,MATCH($C190,'Parameters | Agora'!$A$25:$A$33,0),MATCH(F$1,'Parameters | Agora'!$B$24:$D$24,0))</f>
        <v>0.106</v>
      </c>
      <c r="G190" s="44">
        <f>INDEX('Parameters | Agora'!$B$25:$D$33,MATCH($C190,'Parameters | Agora'!$A$25:$A$33,0),MATCH(G$1,'Parameters | Agora'!$B$24:$D$24,0))</f>
        <v>0.21</v>
      </c>
      <c r="H190" s="42">
        <v>690</v>
      </c>
      <c r="I190" s="8">
        <f>'Parameters | Agora'!$B$22</f>
        <v>1080</v>
      </c>
      <c r="J190" s="15">
        <f>'Parameters | Agora'!$B$21</f>
        <v>20</v>
      </c>
      <c r="K190" s="45">
        <f t="shared" si="8"/>
        <v>1.8399999999999999</v>
      </c>
      <c r="L190" s="45">
        <f t="shared" si="6"/>
        <v>1.3544444444444446</v>
      </c>
      <c r="M190" s="45">
        <f t="shared" si="7"/>
        <v>2.6833333333333336</v>
      </c>
      <c r="N190" s="46">
        <f>E190*$H190/'Parameters | Agora'!$B$19*$J190</f>
        <v>11.040000000000001</v>
      </c>
      <c r="O190" s="46">
        <f>F190*$H190/'Parameters | Agora'!$B$19*$J190</f>
        <v>8.1266666666666669</v>
      </c>
      <c r="P190" s="46">
        <f>G190*$H190/'Parameters | Agora'!$B$19*$J190</f>
        <v>16.100000000000001</v>
      </c>
    </row>
    <row r="191" spans="1:16">
      <c r="A191" s="43" t="s">
        <v>644</v>
      </c>
      <c r="B191" s="43" t="s">
        <v>645</v>
      </c>
      <c r="C191" s="43" t="s">
        <v>119</v>
      </c>
      <c r="D191" s="43" t="s">
        <v>319</v>
      </c>
      <c r="E191" s="44">
        <f>INDEX('Parameters | Agora'!$B$25:$D$33,MATCH($C191,'Parameters | Agora'!$A$25:$A$33,0),MATCH(E$1,'Parameters | Agora'!$B$24:$D$24,0))</f>
        <v>0.14399999999999999</v>
      </c>
      <c r="F191" s="44">
        <f>INDEX('Parameters | Agora'!$B$25:$D$33,MATCH($C191,'Parameters | Agora'!$A$25:$A$33,0),MATCH(F$1,'Parameters | Agora'!$B$24:$D$24,0))</f>
        <v>0.106</v>
      </c>
      <c r="G191" s="44">
        <f>INDEX('Parameters | Agora'!$B$25:$D$33,MATCH($C191,'Parameters | Agora'!$A$25:$A$33,0),MATCH(G$1,'Parameters | Agora'!$B$24:$D$24,0))</f>
        <v>0.21</v>
      </c>
      <c r="H191" s="42">
        <v>1010</v>
      </c>
      <c r="I191" s="8">
        <f>'Parameters | Agora'!$B$22</f>
        <v>1080</v>
      </c>
      <c r="J191" s="15">
        <f>'Parameters | Agora'!$B$21</f>
        <v>20</v>
      </c>
      <c r="K191" s="45">
        <f t="shared" si="8"/>
        <v>2.6933333333333334</v>
      </c>
      <c r="L191" s="45">
        <f t="shared" si="6"/>
        <v>1.9825925925925927</v>
      </c>
      <c r="M191" s="45">
        <f t="shared" si="7"/>
        <v>3.927777777777778</v>
      </c>
      <c r="N191" s="46">
        <f>E191*$H191/'Parameters | Agora'!$B$19*$J191</f>
        <v>16.16</v>
      </c>
      <c r="O191" s="46">
        <f>F191*$H191/'Parameters | Agora'!$B$19*$J191</f>
        <v>11.895555555555555</v>
      </c>
      <c r="P191" s="46">
        <f>G191*$H191/'Parameters | Agora'!$B$19*$J191</f>
        <v>23.566666666666663</v>
      </c>
    </row>
    <row r="192" spans="1:16">
      <c r="A192" s="43" t="s">
        <v>640</v>
      </c>
      <c r="B192" s="43" t="s">
        <v>641</v>
      </c>
      <c r="C192" s="43" t="s">
        <v>114</v>
      </c>
      <c r="D192" s="43" t="s">
        <v>322</v>
      </c>
      <c r="E192" s="44">
        <f>INDEX('Parameters | Agora'!$B$25:$D$33,MATCH($C192,'Parameters | Agora'!$A$25:$A$33,0),MATCH(E$1,'Parameters | Agora'!$B$24:$D$24,0))</f>
        <v>0.13600000000000001</v>
      </c>
      <c r="F192" s="44">
        <f>INDEX('Parameters | Agora'!$B$25:$D$33,MATCH($C192,'Parameters | Agora'!$A$25:$A$33,0),MATCH(F$1,'Parameters | Agora'!$B$24:$D$24,0))</f>
        <v>5.2999999999999999E-2</v>
      </c>
      <c r="G192" s="44">
        <f>INDEX('Parameters | Agora'!$B$25:$D$33,MATCH($C192,'Parameters | Agora'!$A$25:$A$33,0),MATCH(G$1,'Parameters | Agora'!$B$24:$D$24,0))</f>
        <v>0.14799999999999999</v>
      </c>
      <c r="H192" s="42">
        <v>7230</v>
      </c>
      <c r="I192" s="8">
        <f>'Parameters | Agora'!$B$22</f>
        <v>1080</v>
      </c>
      <c r="J192" s="15">
        <f>'Parameters | Agora'!$B$21</f>
        <v>20</v>
      </c>
      <c r="K192" s="45">
        <f t="shared" si="8"/>
        <v>18.20888888888889</v>
      </c>
      <c r="L192" s="45">
        <f t="shared" si="6"/>
        <v>7.096111111111111</v>
      </c>
      <c r="M192" s="45">
        <f t="shared" si="7"/>
        <v>19.815555555555555</v>
      </c>
      <c r="N192" s="46">
        <f>E192*$H192/'Parameters | Agora'!$B$19*$J192</f>
        <v>109.25333333333334</v>
      </c>
      <c r="O192" s="46">
        <f>F192*$H192/'Parameters | Agora'!$B$19*$J192</f>
        <v>42.576666666666661</v>
      </c>
      <c r="P192" s="46">
        <f>G192*$H192/'Parameters | Agora'!$B$19*$J192</f>
        <v>118.89333333333333</v>
      </c>
    </row>
    <row r="193" spans="1:16">
      <c r="A193" s="43" t="s">
        <v>636</v>
      </c>
      <c r="B193" s="43" t="s">
        <v>637</v>
      </c>
      <c r="C193" s="43" t="s">
        <v>115</v>
      </c>
      <c r="D193" s="43" t="s">
        <v>325</v>
      </c>
      <c r="E193" s="44">
        <f>INDEX('Parameters | Agora'!$B$25:$D$33,MATCH($C193,'Parameters | Agora'!$A$25:$A$33,0),MATCH(E$1,'Parameters | Agora'!$B$24:$D$24,0))</f>
        <v>0.13900000000000001</v>
      </c>
      <c r="F193" s="44">
        <f>INDEX('Parameters | Agora'!$B$25:$D$33,MATCH($C193,'Parameters | Agora'!$A$25:$A$33,0),MATCH(F$1,'Parameters | Agora'!$B$24:$D$24,0))</f>
        <v>4.7E-2</v>
      </c>
      <c r="G193" s="44">
        <f>INDEX('Parameters | Agora'!$B$25:$D$33,MATCH($C193,'Parameters | Agora'!$A$25:$A$33,0),MATCH(G$1,'Parameters | Agora'!$B$24:$D$24,0))</f>
        <v>0.10299999999999999</v>
      </c>
      <c r="H193" s="42">
        <v>1210</v>
      </c>
      <c r="I193" s="8">
        <f>'Parameters | Agora'!$B$22</f>
        <v>1080</v>
      </c>
      <c r="J193" s="15">
        <f>'Parameters | Agora'!$B$21</f>
        <v>20</v>
      </c>
      <c r="K193" s="45">
        <f t="shared" si="8"/>
        <v>3.1146296296296301</v>
      </c>
      <c r="L193" s="45">
        <f t="shared" si="6"/>
        <v>1.0531481481481482</v>
      </c>
      <c r="M193" s="45">
        <f t="shared" si="7"/>
        <v>2.3079629629629625</v>
      </c>
      <c r="N193" s="46">
        <f>E193*$H193/'Parameters | Agora'!$B$19*$J193</f>
        <v>18.687777777777782</v>
      </c>
      <c r="O193" s="46">
        <f>F193*$H193/'Parameters | Agora'!$B$19*$J193</f>
        <v>6.3188888888888881</v>
      </c>
      <c r="P193" s="46">
        <f>G193*$H193/'Parameters | Agora'!$B$19*$J193</f>
        <v>13.847777777777777</v>
      </c>
    </row>
    <row r="194" spans="1:16">
      <c r="A194" s="43" t="s">
        <v>654</v>
      </c>
      <c r="B194" s="43" t="s">
        <v>655</v>
      </c>
      <c r="C194" s="43" t="s">
        <v>115</v>
      </c>
      <c r="D194" s="43" t="s">
        <v>322</v>
      </c>
      <c r="E194" s="44">
        <f>INDEX('Parameters | Agora'!$B$25:$D$33,MATCH($C194,'Parameters | Agora'!$A$25:$A$33,0),MATCH(E$1,'Parameters | Agora'!$B$24:$D$24,0))</f>
        <v>0.13900000000000001</v>
      </c>
      <c r="F194" s="44">
        <f>INDEX('Parameters | Agora'!$B$25:$D$33,MATCH($C194,'Parameters | Agora'!$A$25:$A$33,0),MATCH(F$1,'Parameters | Agora'!$B$24:$D$24,0))</f>
        <v>4.7E-2</v>
      </c>
      <c r="G194" s="44">
        <f>INDEX('Parameters | Agora'!$B$25:$D$33,MATCH($C194,'Parameters | Agora'!$A$25:$A$33,0),MATCH(G$1,'Parameters | Agora'!$B$24:$D$24,0))</f>
        <v>0.10299999999999999</v>
      </c>
      <c r="H194" s="42">
        <v>8899.6313333333328</v>
      </c>
      <c r="I194" s="8">
        <f>'Parameters | Agora'!$B$22</f>
        <v>1080</v>
      </c>
      <c r="J194" s="15">
        <f>'Parameters | Agora'!$B$21</f>
        <v>20</v>
      </c>
      <c r="K194" s="45">
        <f t="shared" si="8"/>
        <v>22.90831028395062</v>
      </c>
      <c r="L194" s="45">
        <f t="shared" ref="L194:L219" si="9">F194*$H194/$I194*$J194</f>
        <v>7.7459754197530861</v>
      </c>
      <c r="M194" s="45">
        <f t="shared" ref="M194:M219" si="10">G194*$H194/$I194*$J194</f>
        <v>16.97522272839506</v>
      </c>
      <c r="N194" s="46">
        <f>E194*$H194/'Parameters | Agora'!$B$19*$J194</f>
        <v>137.4498617037037</v>
      </c>
      <c r="O194" s="46">
        <f>F194*$H194/'Parameters | Agora'!$B$19*$J194</f>
        <v>46.475852518518515</v>
      </c>
      <c r="P194" s="46">
        <f>G194*$H194/'Parameters | Agora'!$B$19*$J194</f>
        <v>101.85133637037035</v>
      </c>
    </row>
    <row r="195" spans="1:16">
      <c r="A195" s="43" t="s">
        <v>642</v>
      </c>
      <c r="B195" s="43" t="s">
        <v>643</v>
      </c>
      <c r="C195" s="43" t="s">
        <v>114</v>
      </c>
      <c r="D195" s="43" t="s">
        <v>325</v>
      </c>
      <c r="E195" s="44">
        <f>INDEX('Parameters | Agora'!$B$25:$D$33,MATCH($C195,'Parameters | Agora'!$A$25:$A$33,0),MATCH(E$1,'Parameters | Agora'!$B$24:$D$24,0))</f>
        <v>0.13600000000000001</v>
      </c>
      <c r="F195" s="44">
        <f>INDEX('Parameters | Agora'!$B$25:$D$33,MATCH($C195,'Parameters | Agora'!$A$25:$A$33,0),MATCH(F$1,'Parameters | Agora'!$B$24:$D$24,0))</f>
        <v>5.2999999999999999E-2</v>
      </c>
      <c r="G195" s="44">
        <f>INDEX('Parameters | Agora'!$B$25:$D$33,MATCH($C195,'Parameters | Agora'!$A$25:$A$33,0),MATCH(G$1,'Parameters | Agora'!$B$24:$D$24,0))</f>
        <v>0.14799999999999999</v>
      </c>
      <c r="H195" s="42">
        <v>1980</v>
      </c>
      <c r="I195" s="8">
        <f>'Parameters | Agora'!$B$22</f>
        <v>1080</v>
      </c>
      <c r="J195" s="15">
        <f>'Parameters | Agora'!$B$21</f>
        <v>20</v>
      </c>
      <c r="K195" s="45">
        <f t="shared" ref="K195:K219" si="11">E195*$H195/$I195*$J195</f>
        <v>4.9866666666666672</v>
      </c>
      <c r="L195" s="45">
        <f t="shared" si="9"/>
        <v>1.9433333333333334</v>
      </c>
      <c r="M195" s="45">
        <f t="shared" si="10"/>
        <v>5.4266666666666659</v>
      </c>
      <c r="N195" s="46">
        <f>E195*$H195/'Parameters | Agora'!$B$19*$J195</f>
        <v>29.920000000000005</v>
      </c>
      <c r="O195" s="46">
        <f>F195*$H195/'Parameters | Agora'!$B$19*$J195</f>
        <v>11.66</v>
      </c>
      <c r="P195" s="46">
        <f>G195*$H195/'Parameters | Agora'!$B$19*$J195</f>
        <v>32.559999999999995</v>
      </c>
    </row>
    <row r="196" spans="1:16">
      <c r="A196" s="43" t="s">
        <v>646</v>
      </c>
      <c r="B196" s="43" t="s">
        <v>647</v>
      </c>
      <c r="C196" s="43" t="s">
        <v>114</v>
      </c>
      <c r="D196" s="43" t="s">
        <v>322</v>
      </c>
      <c r="E196" s="44">
        <f>INDEX('Parameters | Agora'!$B$25:$D$33,MATCH($C196,'Parameters | Agora'!$A$25:$A$33,0),MATCH(E$1,'Parameters | Agora'!$B$24:$D$24,0))</f>
        <v>0.13600000000000001</v>
      </c>
      <c r="F196" s="44">
        <f>INDEX('Parameters | Agora'!$B$25:$D$33,MATCH($C196,'Parameters | Agora'!$A$25:$A$33,0),MATCH(F$1,'Parameters | Agora'!$B$24:$D$24,0))</f>
        <v>5.2999999999999999E-2</v>
      </c>
      <c r="G196" s="44">
        <f>INDEX('Parameters | Agora'!$B$25:$D$33,MATCH($C196,'Parameters | Agora'!$A$25:$A$33,0),MATCH(G$1,'Parameters | Agora'!$B$24:$D$24,0))</f>
        <v>0.14799999999999999</v>
      </c>
      <c r="H196" s="42">
        <v>4930</v>
      </c>
      <c r="I196" s="8">
        <f>'Parameters | Agora'!$B$22</f>
        <v>1080</v>
      </c>
      <c r="J196" s="15">
        <f>'Parameters | Agora'!$B$21</f>
        <v>20</v>
      </c>
      <c r="K196" s="45">
        <f t="shared" si="11"/>
        <v>12.416296296296297</v>
      </c>
      <c r="L196" s="45">
        <f t="shared" si="9"/>
        <v>4.838703703703704</v>
      </c>
      <c r="M196" s="45">
        <f t="shared" si="10"/>
        <v>13.511851851851853</v>
      </c>
      <c r="N196" s="46">
        <f>E196*$H196/'Parameters | Agora'!$B$19*$J196</f>
        <v>74.497777777777785</v>
      </c>
      <c r="O196" s="46">
        <f>F196*$H196/'Parameters | Agora'!$B$19*$J196</f>
        <v>29.032222222222224</v>
      </c>
      <c r="P196" s="46">
        <f>G196*$H196/'Parameters | Agora'!$B$19*$J196</f>
        <v>81.071111111111108</v>
      </c>
    </row>
    <row r="197" spans="1:16">
      <c r="A197" s="43" t="s">
        <v>648</v>
      </c>
      <c r="B197" s="43" t="s">
        <v>649</v>
      </c>
      <c r="C197" s="43" t="s">
        <v>116</v>
      </c>
      <c r="D197" s="43" t="s">
        <v>121</v>
      </c>
      <c r="E197" s="44">
        <f>INDEX('Parameters | Agora'!$B$25:$D$33,MATCH($C197,'Parameters | Agora'!$A$25:$A$33,0),MATCH(E$1,'Parameters | Agora'!$B$24:$D$24,0))</f>
        <v>7.8E-2</v>
      </c>
      <c r="F197" s="44">
        <f>INDEX('Parameters | Agora'!$B$25:$D$33,MATCH($C197,'Parameters | Agora'!$A$25:$A$33,0),MATCH(F$1,'Parameters | Agora'!$B$24:$D$24,0))</f>
        <v>5.3999999999999999E-2</v>
      </c>
      <c r="G197" s="44">
        <f>INDEX('Parameters | Agora'!$B$25:$D$33,MATCH($C197,'Parameters | Agora'!$A$25:$A$33,0),MATCH(G$1,'Parameters | Agora'!$B$24:$D$24,0))</f>
        <v>0.159</v>
      </c>
      <c r="H197" s="42">
        <v>16190</v>
      </c>
      <c r="I197" s="8">
        <f>'Parameters | Agora'!$B$22</f>
        <v>1080</v>
      </c>
      <c r="J197" s="15">
        <f>'Parameters | Agora'!$B$21</f>
        <v>20</v>
      </c>
      <c r="K197" s="45">
        <f t="shared" si="11"/>
        <v>23.385555555555552</v>
      </c>
      <c r="L197" s="45">
        <f t="shared" si="9"/>
        <v>16.190000000000001</v>
      </c>
      <c r="M197" s="45">
        <f t="shared" si="10"/>
        <v>47.670555555555552</v>
      </c>
      <c r="N197" s="46">
        <f>E197*$H197/'Parameters | Agora'!$B$19*$J197</f>
        <v>140.31333333333333</v>
      </c>
      <c r="O197" s="46">
        <f>F197*$H197/'Parameters | Agora'!$B$19*$J197</f>
        <v>97.14</v>
      </c>
      <c r="P197" s="46">
        <f>G197*$H197/'Parameters | Agora'!$B$19*$J197</f>
        <v>286.02333333333331</v>
      </c>
    </row>
    <row r="198" spans="1:16">
      <c r="A198" s="43" t="s">
        <v>650</v>
      </c>
      <c r="B198" s="43" t="s">
        <v>651</v>
      </c>
      <c r="C198" s="43" t="s">
        <v>117</v>
      </c>
      <c r="D198" s="43" t="s">
        <v>325</v>
      </c>
      <c r="E198" s="44">
        <f>INDEX('Parameters | Agora'!$B$25:$D$33,MATCH($C198,'Parameters | Agora'!$A$25:$A$33,0),MATCH(E$1,'Parameters | Agora'!$B$24:$D$24,0))</f>
        <v>0.16</v>
      </c>
      <c r="F198" s="44">
        <f>INDEX('Parameters | Agora'!$B$25:$D$33,MATCH($C198,'Parameters | Agora'!$A$25:$A$33,0),MATCH(F$1,'Parameters | Agora'!$B$24:$D$24,0))</f>
        <v>4.4999999999999998E-2</v>
      </c>
      <c r="G198" s="44">
        <f>INDEX('Parameters | Agora'!$B$25:$D$33,MATCH($C198,'Parameters | Agora'!$A$25:$A$33,0),MATCH(G$1,'Parameters | Agora'!$B$24:$D$24,0))</f>
        <v>0.105</v>
      </c>
      <c r="H198" s="42">
        <v>3830</v>
      </c>
      <c r="I198" s="8">
        <f>'Parameters | Agora'!$B$22</f>
        <v>1080</v>
      </c>
      <c r="J198" s="15">
        <f>'Parameters | Agora'!$B$21</f>
        <v>20</v>
      </c>
      <c r="K198" s="45">
        <f t="shared" si="11"/>
        <v>11.34814814814815</v>
      </c>
      <c r="L198" s="45">
        <f t="shared" si="9"/>
        <v>3.1916666666666664</v>
      </c>
      <c r="M198" s="45">
        <f t="shared" si="10"/>
        <v>7.447222222222222</v>
      </c>
      <c r="N198" s="46">
        <f>E198*$H198/'Parameters | Agora'!$B$19*$J198</f>
        <v>68.088888888888889</v>
      </c>
      <c r="O198" s="46">
        <f>F198*$H198/'Parameters | Agora'!$B$19*$J198</f>
        <v>19.149999999999999</v>
      </c>
      <c r="P198" s="46">
        <f>G198*$H198/'Parameters | Agora'!$B$19*$J198</f>
        <v>44.68333333333333</v>
      </c>
    </row>
    <row r="199" spans="1:16">
      <c r="A199" s="43" t="s">
        <v>774</v>
      </c>
      <c r="B199" s="43" t="s">
        <v>653</v>
      </c>
      <c r="C199" s="43" t="s">
        <v>115</v>
      </c>
      <c r="D199" s="43" t="s">
        <v>322</v>
      </c>
      <c r="E199" s="44">
        <f>INDEX('Parameters | Agora'!$B$25:$D$33,MATCH($C199,'Parameters | Agora'!$A$25:$A$33,0),MATCH(E$1,'Parameters | Agora'!$B$24:$D$24,0))</f>
        <v>0.13900000000000001</v>
      </c>
      <c r="F199" s="44">
        <f>INDEX('Parameters | Agora'!$B$25:$D$33,MATCH($C199,'Parameters | Agora'!$A$25:$A$33,0),MATCH(F$1,'Parameters | Agora'!$B$24:$D$24,0))</f>
        <v>4.7E-2</v>
      </c>
      <c r="G199" s="44">
        <f>INDEX('Parameters | Agora'!$B$25:$D$33,MATCH($C199,'Parameters | Agora'!$A$25:$A$33,0),MATCH(G$1,'Parameters | Agora'!$B$24:$D$24,0))</f>
        <v>0.10299999999999999</v>
      </c>
      <c r="H199" s="42">
        <v>10640</v>
      </c>
      <c r="I199" s="8">
        <f>'Parameters | Agora'!$B$22</f>
        <v>1080</v>
      </c>
      <c r="J199" s="15">
        <f>'Parameters | Agora'!$B$21</f>
        <v>20</v>
      </c>
      <c r="K199" s="45">
        <f t="shared" si="11"/>
        <v>27.388148148148147</v>
      </c>
      <c r="L199" s="45">
        <f t="shared" si="9"/>
        <v>9.2607407407407401</v>
      </c>
      <c r="M199" s="45">
        <f t="shared" si="10"/>
        <v>20.29481481481481</v>
      </c>
      <c r="N199" s="46">
        <f>E199*$H199/'Parameters | Agora'!$B$19*$J199</f>
        <v>164.32888888888891</v>
      </c>
      <c r="O199" s="46">
        <f>F199*$H199/'Parameters | Agora'!$B$19*$J199</f>
        <v>55.56444444444444</v>
      </c>
      <c r="P199" s="46">
        <f>G199*$H199/'Parameters | Agora'!$B$19*$J199</f>
        <v>121.76888888888888</v>
      </c>
    </row>
    <row r="200" spans="1:16">
      <c r="A200" s="43" t="s">
        <v>775</v>
      </c>
      <c r="B200" s="43" t="s">
        <v>776</v>
      </c>
      <c r="C200" s="43" t="s">
        <v>114</v>
      </c>
      <c r="D200" s="43" t="s">
        <v>322</v>
      </c>
      <c r="E200" s="44">
        <f>INDEX('Parameters | Agora'!$B$25:$D$33,MATCH($C200,'Parameters | Agora'!$A$25:$A$33,0),MATCH(E$1,'Parameters | Agora'!$B$24:$D$24,0))</f>
        <v>0.13600000000000001</v>
      </c>
      <c r="F200" s="44">
        <f>INDEX('Parameters | Agora'!$B$25:$D$33,MATCH($C200,'Parameters | Agora'!$A$25:$A$33,0),MATCH(F$1,'Parameters | Agora'!$B$24:$D$24,0))</f>
        <v>5.2999999999999999E-2</v>
      </c>
      <c r="G200" s="44">
        <f>INDEX('Parameters | Agora'!$B$25:$D$33,MATCH($C200,'Parameters | Agora'!$A$25:$A$33,0),MATCH(G$1,'Parameters | Agora'!$B$24:$D$24,0))</f>
        <v>0.14799999999999999</v>
      </c>
      <c r="H200" s="42">
        <v>7160</v>
      </c>
      <c r="I200" s="8">
        <f>'Parameters | Agora'!$B$22</f>
        <v>1080</v>
      </c>
      <c r="J200" s="15">
        <f>'Parameters | Agora'!$B$21</f>
        <v>20</v>
      </c>
      <c r="K200" s="45">
        <f t="shared" si="11"/>
        <v>18.032592592592597</v>
      </c>
      <c r="L200" s="45">
        <f t="shared" si="9"/>
        <v>7.0274074074074067</v>
      </c>
      <c r="M200" s="45">
        <f t="shared" si="10"/>
        <v>19.623703703703701</v>
      </c>
      <c r="N200" s="46">
        <f>E200*$H200/'Parameters | Agora'!$B$19*$J200</f>
        <v>108.19555555555556</v>
      </c>
      <c r="O200" s="46">
        <f>F200*$H200/'Parameters | Agora'!$B$19*$J200</f>
        <v>42.164444444444442</v>
      </c>
      <c r="P200" s="46">
        <f>G200*$H200/'Parameters | Agora'!$B$19*$J200</f>
        <v>117.74222222222221</v>
      </c>
    </row>
    <row r="201" spans="1:16">
      <c r="A201" s="43" t="s">
        <v>777</v>
      </c>
      <c r="B201" s="43" t="s">
        <v>635</v>
      </c>
      <c r="C201" s="43" t="s">
        <v>114</v>
      </c>
      <c r="D201" s="43" t="s">
        <v>121</v>
      </c>
      <c r="E201" s="44">
        <f>INDEX('Parameters | Agora'!$B$25:$D$33,MATCH($C201,'Parameters | Agora'!$A$25:$A$33,0),MATCH(E$1,'Parameters | Agora'!$B$24:$D$24,0))</f>
        <v>0.13600000000000001</v>
      </c>
      <c r="F201" s="44">
        <f>INDEX('Parameters | Agora'!$B$25:$D$33,MATCH($C201,'Parameters | Agora'!$A$25:$A$33,0),MATCH(F$1,'Parameters | Agora'!$B$24:$D$24,0))</f>
        <v>5.2999999999999999E-2</v>
      </c>
      <c r="G201" s="44">
        <f>INDEX('Parameters | Agora'!$B$25:$D$33,MATCH($C201,'Parameters | Agora'!$A$25:$A$33,0),MATCH(G$1,'Parameters | Agora'!$B$24:$D$24,0))</f>
        <v>0.14799999999999999</v>
      </c>
      <c r="H201" s="42">
        <v>12868.917463297401</v>
      </c>
      <c r="I201" s="8">
        <f>'Parameters | Agora'!$B$22</f>
        <v>1080</v>
      </c>
      <c r="J201" s="15">
        <f>'Parameters | Agora'!$B$21</f>
        <v>20</v>
      </c>
      <c r="K201" s="45">
        <f t="shared" si="11"/>
        <v>32.410606944600865</v>
      </c>
      <c r="L201" s="45">
        <f t="shared" si="9"/>
        <v>12.630604176940041</v>
      </c>
      <c r="M201" s="45">
        <f t="shared" si="10"/>
        <v>35.270366380889172</v>
      </c>
      <c r="N201" s="46">
        <f>E201*$H201/'Parameters | Agora'!$B$19*$J201</f>
        <v>194.46364166760517</v>
      </c>
      <c r="O201" s="46">
        <f>F201*$H201/'Parameters | Agora'!$B$19*$J201</f>
        <v>75.783625061640251</v>
      </c>
      <c r="P201" s="46">
        <f>G201*$H201/'Parameters | Agora'!$B$19*$J201</f>
        <v>211.622198285335</v>
      </c>
    </row>
    <row r="202" spans="1:16">
      <c r="A202" s="43" t="s">
        <v>638</v>
      </c>
      <c r="B202" s="43" t="s">
        <v>639</v>
      </c>
      <c r="C202" s="43" t="s">
        <v>119</v>
      </c>
      <c r="D202" s="43" t="s">
        <v>325</v>
      </c>
      <c r="E202" s="44">
        <f>INDEX('Parameters | Agora'!$B$25:$D$33,MATCH($C202,'Parameters | Agora'!$A$25:$A$33,0),MATCH(E$1,'Parameters | Agora'!$B$24:$D$24,0))</f>
        <v>0.14399999999999999</v>
      </c>
      <c r="F202" s="44">
        <f>INDEX('Parameters | Agora'!$B$25:$D$33,MATCH($C202,'Parameters | Agora'!$A$25:$A$33,0),MATCH(F$1,'Parameters | Agora'!$B$24:$D$24,0))</f>
        <v>0.106</v>
      </c>
      <c r="G202" s="44">
        <f>INDEX('Parameters | Agora'!$B$25:$D$33,MATCH($C202,'Parameters | Agora'!$A$25:$A$33,0),MATCH(G$1,'Parameters | Agora'!$B$24:$D$24,0))</f>
        <v>0.21</v>
      </c>
      <c r="H202" s="42">
        <v>1200</v>
      </c>
      <c r="I202" s="8">
        <f>'Parameters | Agora'!$B$22</f>
        <v>1080</v>
      </c>
      <c r="J202" s="15">
        <f>'Parameters | Agora'!$B$21</f>
        <v>20</v>
      </c>
      <c r="K202" s="45">
        <f t="shared" si="11"/>
        <v>3.1999999999999993</v>
      </c>
      <c r="L202" s="45">
        <f t="shared" si="9"/>
        <v>2.3555555555555556</v>
      </c>
      <c r="M202" s="45">
        <f t="shared" si="10"/>
        <v>4.666666666666667</v>
      </c>
      <c r="N202" s="46">
        <f>E202*$H202/'Parameters | Agora'!$B$19*$J202</f>
        <v>19.199999999999996</v>
      </c>
      <c r="O202" s="46">
        <f>F202*$H202/'Parameters | Agora'!$B$19*$J202</f>
        <v>14.133333333333333</v>
      </c>
      <c r="P202" s="46">
        <f>G202*$H202/'Parameters | Agora'!$B$19*$J202</f>
        <v>28</v>
      </c>
    </row>
    <row r="203" spans="1:16">
      <c r="A203" s="43" t="s">
        <v>656</v>
      </c>
      <c r="B203" s="43" t="s">
        <v>657</v>
      </c>
      <c r="C203" s="43" t="s">
        <v>119</v>
      </c>
      <c r="D203" s="43" t="s">
        <v>319</v>
      </c>
      <c r="E203" s="44">
        <f>INDEX('Parameters | Agora'!$B$25:$D$33,MATCH($C203,'Parameters | Agora'!$A$25:$A$33,0),MATCH(E$1,'Parameters | Agora'!$B$24:$D$24,0))</f>
        <v>0.14399999999999999</v>
      </c>
      <c r="F203" s="44">
        <f>INDEX('Parameters | Agora'!$B$25:$D$33,MATCH($C203,'Parameters | Agora'!$A$25:$A$33,0),MATCH(F$1,'Parameters | Agora'!$B$24:$D$24,0))</f>
        <v>0.106</v>
      </c>
      <c r="G203" s="44">
        <f>INDEX('Parameters | Agora'!$B$25:$D$33,MATCH($C203,'Parameters | Agora'!$A$25:$A$33,0),MATCH(G$1,'Parameters | Agora'!$B$24:$D$24,0))</f>
        <v>0.21</v>
      </c>
      <c r="H203" s="42">
        <v>930</v>
      </c>
      <c r="I203" s="8">
        <f>'Parameters | Agora'!$B$22</f>
        <v>1080</v>
      </c>
      <c r="J203" s="15">
        <f>'Parameters | Agora'!$B$21</f>
        <v>20</v>
      </c>
      <c r="K203" s="45">
        <f t="shared" si="11"/>
        <v>2.4799999999999995</v>
      </c>
      <c r="L203" s="45">
        <f t="shared" si="9"/>
        <v>1.8255555555555556</v>
      </c>
      <c r="M203" s="45">
        <f t="shared" si="10"/>
        <v>3.6166666666666663</v>
      </c>
      <c r="N203" s="46">
        <f>E203*$H203/'Parameters | Agora'!$B$19*$J203</f>
        <v>14.879999999999997</v>
      </c>
      <c r="O203" s="46">
        <f>F203*$H203/'Parameters | Agora'!$B$19*$J203</f>
        <v>10.953333333333333</v>
      </c>
      <c r="P203" s="46">
        <f>G203*$H203/'Parameters | Agora'!$B$19*$J203</f>
        <v>21.7</v>
      </c>
    </row>
    <row r="204" spans="1:16">
      <c r="A204" s="43" t="s">
        <v>658</v>
      </c>
      <c r="B204" s="43" t="s">
        <v>659</v>
      </c>
      <c r="C204" s="43" t="s">
        <v>115</v>
      </c>
      <c r="D204" s="43" t="s">
        <v>325</v>
      </c>
      <c r="E204" s="44">
        <f>INDEX('Parameters | Agora'!$B$25:$D$33,MATCH($C204,'Parameters | Agora'!$A$25:$A$33,0),MATCH(E$1,'Parameters | Agora'!$B$24:$D$24,0))</f>
        <v>0.13900000000000001</v>
      </c>
      <c r="F204" s="44">
        <f>INDEX('Parameters | Agora'!$B$25:$D$33,MATCH($C204,'Parameters | Agora'!$A$25:$A$33,0),MATCH(F$1,'Parameters | Agora'!$B$24:$D$24,0))</f>
        <v>4.7E-2</v>
      </c>
      <c r="G204" s="44">
        <f>INDEX('Parameters | Agora'!$B$25:$D$33,MATCH($C204,'Parameters | Agora'!$A$25:$A$33,0),MATCH(G$1,'Parameters | Agora'!$B$24:$D$24,0))</f>
        <v>0.10299999999999999</v>
      </c>
      <c r="H204" s="42">
        <v>4260</v>
      </c>
      <c r="I204" s="8">
        <f>'Parameters | Agora'!$B$22</f>
        <v>1080</v>
      </c>
      <c r="J204" s="15">
        <f>'Parameters | Agora'!$B$21</f>
        <v>20</v>
      </c>
      <c r="K204" s="45">
        <f t="shared" si="11"/>
        <v>10.965555555555557</v>
      </c>
      <c r="L204" s="45">
        <f t="shared" si="9"/>
        <v>3.7077777777777774</v>
      </c>
      <c r="M204" s="45">
        <f t="shared" si="10"/>
        <v>8.1255555555555539</v>
      </c>
      <c r="N204" s="46">
        <f>E204*$H204/'Parameters | Agora'!$B$19*$J204</f>
        <v>65.793333333333351</v>
      </c>
      <c r="O204" s="46">
        <f>F204*$H204/'Parameters | Agora'!$B$19*$J204</f>
        <v>22.24666666666667</v>
      </c>
      <c r="P204" s="46">
        <f>G204*$H204/'Parameters | Agora'!$B$19*$J204</f>
        <v>48.75333333333333</v>
      </c>
    </row>
    <row r="205" spans="1:16">
      <c r="A205" s="43" t="s">
        <v>666</v>
      </c>
      <c r="B205" s="43" t="s">
        <v>667</v>
      </c>
      <c r="C205" s="43" t="s">
        <v>116</v>
      </c>
      <c r="D205" s="43" t="s">
        <v>121</v>
      </c>
      <c r="E205" s="44">
        <f>INDEX('Parameters | Agora'!$B$25:$D$33,MATCH($C205,'Parameters | Agora'!$A$25:$A$33,0),MATCH(E$1,'Parameters | Agora'!$B$24:$D$24,0))</f>
        <v>7.8E-2</v>
      </c>
      <c r="F205" s="44">
        <f>INDEX('Parameters | Agora'!$B$25:$D$33,MATCH($C205,'Parameters | Agora'!$A$25:$A$33,0),MATCH(F$1,'Parameters | Agora'!$B$24:$D$24,0))</f>
        <v>5.3999999999999999E-2</v>
      </c>
      <c r="G205" s="44">
        <f>INDEX('Parameters | Agora'!$B$25:$D$33,MATCH($C205,'Parameters | Agora'!$A$25:$A$33,0),MATCH(G$1,'Parameters | Agora'!$B$24:$D$24,0))</f>
        <v>0.159</v>
      </c>
      <c r="H205" s="42">
        <v>18000</v>
      </c>
      <c r="I205" s="8">
        <f>'Parameters | Agora'!$B$22</f>
        <v>1080</v>
      </c>
      <c r="J205" s="15">
        <f>'Parameters | Agora'!$B$21</f>
        <v>20</v>
      </c>
      <c r="K205" s="45">
        <f t="shared" si="11"/>
        <v>26</v>
      </c>
      <c r="L205" s="45">
        <f t="shared" si="9"/>
        <v>18</v>
      </c>
      <c r="M205" s="45">
        <f t="shared" si="10"/>
        <v>53</v>
      </c>
      <c r="N205" s="46">
        <f>E205*$H205/'Parameters | Agora'!$B$19*$J205</f>
        <v>156</v>
      </c>
      <c r="O205" s="46">
        <f>F205*$H205/'Parameters | Agora'!$B$19*$J205</f>
        <v>108</v>
      </c>
      <c r="P205" s="46">
        <f>G205*$H205/'Parameters | Agora'!$B$19*$J205</f>
        <v>318</v>
      </c>
    </row>
    <row r="206" spans="1:16">
      <c r="A206" s="43" t="s">
        <v>664</v>
      </c>
      <c r="B206" s="43" t="s">
        <v>665</v>
      </c>
      <c r="C206" s="43" t="s">
        <v>120</v>
      </c>
      <c r="D206" s="43" t="s">
        <v>121</v>
      </c>
      <c r="E206" s="44">
        <f>INDEX('Parameters | Agora'!$B$25:$D$33,MATCH($C206,'Parameters | Agora'!$A$25:$A$33,0),MATCH(E$1,'Parameters | Agora'!$B$24:$D$24,0))</f>
        <v>4.9000000000000002E-2</v>
      </c>
      <c r="F206" s="44">
        <f>INDEX('Parameters | Agora'!$B$25:$D$33,MATCH($C206,'Parameters | Agora'!$A$25:$A$33,0),MATCH(F$1,'Parameters | Agora'!$B$24:$D$24,0))</f>
        <v>6.6000000000000003E-2</v>
      </c>
      <c r="G206" s="44">
        <f>INDEX('Parameters | Agora'!$B$25:$D$33,MATCH($C206,'Parameters | Agora'!$A$25:$A$33,0),MATCH(G$1,'Parameters | Agora'!$B$24:$D$24,0))</f>
        <v>0.111</v>
      </c>
      <c r="H206" s="42">
        <v>76770</v>
      </c>
      <c r="I206" s="8">
        <f>'Parameters | Agora'!$B$22</f>
        <v>1080</v>
      </c>
      <c r="J206" s="15">
        <f>'Parameters | Agora'!$B$21</f>
        <v>20</v>
      </c>
      <c r="K206" s="45">
        <f t="shared" si="11"/>
        <v>69.661666666666676</v>
      </c>
      <c r="L206" s="45">
        <f t="shared" si="9"/>
        <v>93.830000000000013</v>
      </c>
      <c r="M206" s="45">
        <f t="shared" si="10"/>
        <v>157.80499999999998</v>
      </c>
      <c r="N206" s="46">
        <f>E206*$H206/'Parameters | Agora'!$B$19*$J206</f>
        <v>417.96999999999997</v>
      </c>
      <c r="O206" s="46">
        <f>F206*$H206/'Parameters | Agora'!$B$19*$J206</f>
        <v>562.98000000000013</v>
      </c>
      <c r="P206" s="46">
        <f>G206*$H206/'Parameters | Agora'!$B$19*$J206</f>
        <v>946.82999999999993</v>
      </c>
    </row>
    <row r="207" spans="1:16">
      <c r="A207" s="43" t="s">
        <v>668</v>
      </c>
      <c r="B207" s="43" t="s">
        <v>669</v>
      </c>
      <c r="C207" s="43" t="s">
        <v>115</v>
      </c>
      <c r="D207" s="43" t="s">
        <v>325</v>
      </c>
      <c r="E207" s="44">
        <f>INDEX('Parameters | Agora'!$B$25:$D$33,MATCH($C207,'Parameters | Agora'!$A$25:$A$33,0),MATCH(E$1,'Parameters | Agora'!$B$24:$D$24,0))</f>
        <v>0.13900000000000001</v>
      </c>
      <c r="F207" s="44">
        <f>INDEX('Parameters | Agora'!$B$25:$D$33,MATCH($C207,'Parameters | Agora'!$A$25:$A$33,0),MATCH(F$1,'Parameters | Agora'!$B$24:$D$24,0))</f>
        <v>4.7E-2</v>
      </c>
      <c r="G207" s="44">
        <f>INDEX('Parameters | Agora'!$B$25:$D$33,MATCH($C207,'Parameters | Agora'!$A$25:$A$33,0),MATCH(G$1,'Parameters | Agora'!$B$24:$D$24,0))</f>
        <v>0.10299999999999999</v>
      </c>
      <c r="H207" s="42">
        <v>2190</v>
      </c>
      <c r="I207" s="8">
        <f>'Parameters | Agora'!$B$22</f>
        <v>1080</v>
      </c>
      <c r="J207" s="15">
        <f>'Parameters | Agora'!$B$21</f>
        <v>20</v>
      </c>
      <c r="K207" s="45">
        <f t="shared" si="11"/>
        <v>5.6372222222222224</v>
      </c>
      <c r="L207" s="45">
        <f t="shared" si="9"/>
        <v>1.9061111111111111</v>
      </c>
      <c r="M207" s="45">
        <f t="shared" si="10"/>
        <v>4.1772222222222224</v>
      </c>
      <c r="N207" s="46">
        <f>E207*$H207/'Parameters | Agora'!$B$19*$J207</f>
        <v>33.823333333333338</v>
      </c>
      <c r="O207" s="46">
        <f>F207*$H207/'Parameters | Agora'!$B$19*$J207</f>
        <v>11.436666666666667</v>
      </c>
      <c r="P207" s="46">
        <f>G207*$H207/'Parameters | Agora'!$B$19*$J207</f>
        <v>25.063333333333333</v>
      </c>
    </row>
    <row r="208" spans="1:16">
      <c r="A208" s="43" t="s">
        <v>620</v>
      </c>
      <c r="B208" s="43" t="s">
        <v>621</v>
      </c>
      <c r="C208" s="43" t="s">
        <v>116</v>
      </c>
      <c r="D208" s="43" t="s">
        <v>322</v>
      </c>
      <c r="E208" s="44">
        <f>INDEX('Parameters | Agora'!$B$25:$D$33,MATCH($C208,'Parameters | Agora'!$A$25:$A$33,0),MATCH(E$1,'Parameters | Agora'!$B$24:$D$24,0))</f>
        <v>7.8E-2</v>
      </c>
      <c r="F208" s="44">
        <f>INDEX('Parameters | Agora'!$B$25:$D$33,MATCH($C208,'Parameters | Agora'!$A$25:$A$33,0),MATCH(F$1,'Parameters | Agora'!$B$24:$D$24,0))</f>
        <v>5.3999999999999999E-2</v>
      </c>
      <c r="G208" s="44">
        <f>INDEX('Parameters | Agora'!$B$25:$D$33,MATCH($C208,'Parameters | Agora'!$A$25:$A$33,0),MATCH(G$1,'Parameters | Agora'!$B$24:$D$24,0))</f>
        <v>0.159</v>
      </c>
      <c r="H208" s="42">
        <v>9110</v>
      </c>
      <c r="I208" s="8">
        <f>'Parameters | Agora'!$B$22</f>
        <v>1080</v>
      </c>
      <c r="J208" s="15">
        <f>'Parameters | Agora'!$B$21</f>
        <v>20</v>
      </c>
      <c r="K208" s="45">
        <f t="shared" si="11"/>
        <v>13.158888888888889</v>
      </c>
      <c r="L208" s="45">
        <f t="shared" si="9"/>
        <v>9.11</v>
      </c>
      <c r="M208" s="45">
        <f t="shared" si="10"/>
        <v>26.823888888888888</v>
      </c>
      <c r="N208" s="46">
        <f>E208*$H208/'Parameters | Agora'!$B$19*$J208</f>
        <v>78.953333333333347</v>
      </c>
      <c r="O208" s="46">
        <f>F208*$H208/'Parameters | Agora'!$B$19*$J208</f>
        <v>54.660000000000004</v>
      </c>
      <c r="P208" s="46">
        <f>G208*$H208/'Parameters | Agora'!$B$19*$J208</f>
        <v>160.94333333333336</v>
      </c>
    </row>
    <row r="209" spans="1:16">
      <c r="A209" s="214" t="s">
        <v>672</v>
      </c>
      <c r="B209" s="214" t="s">
        <v>673</v>
      </c>
      <c r="C209" s="214" t="s">
        <v>116</v>
      </c>
      <c r="D209" s="214" t="s">
        <v>325</v>
      </c>
      <c r="E209" s="215">
        <f>INDEX('Parameters | Agora'!$B$25:$D$33,MATCH($C209,'Parameters | Agora'!$A$25:$A$33,0),MATCH(E$1,'Parameters | Agora'!$B$24:$D$24,0))</f>
        <v>7.8E-2</v>
      </c>
      <c r="F209" s="215">
        <f>INDEX('Parameters | Agora'!$B$25:$D$33,MATCH($C209,'Parameters | Agora'!$A$25:$A$33,0),MATCH(F$1,'Parameters | Agora'!$B$24:$D$24,0))</f>
        <v>5.3999999999999999E-2</v>
      </c>
      <c r="G209" s="215">
        <f>INDEX('Parameters | Agora'!$B$25:$D$33,MATCH($C209,'Parameters | Agora'!$A$25:$A$33,0),MATCH(G$1,'Parameters | Agora'!$B$24:$D$24,0))</f>
        <v>0.159</v>
      </c>
      <c r="H209" s="216">
        <v>2701.1949999999997</v>
      </c>
      <c r="I209" s="217">
        <f>'Parameters | Agora'!$B$22</f>
        <v>1080</v>
      </c>
      <c r="J209" s="218">
        <f>'Parameters | Agora'!$B$21</f>
        <v>20</v>
      </c>
      <c r="K209" s="45">
        <f t="shared" si="11"/>
        <v>3.9017261111111106</v>
      </c>
      <c r="L209" s="45">
        <f t="shared" si="9"/>
        <v>2.7011949999999993</v>
      </c>
      <c r="M209" s="45">
        <f t="shared" si="10"/>
        <v>7.95351861111111</v>
      </c>
      <c r="N209" s="46">
        <f>E209*$H209/'Parameters | Agora'!$B$19*$J209</f>
        <v>23.410356666666662</v>
      </c>
      <c r="O209" s="46">
        <f>F209*$H209/'Parameters | Agora'!$B$19*$J209</f>
        <v>16.207169999999998</v>
      </c>
      <c r="P209" s="46">
        <f>G209*$H209/'Parameters | Agora'!$B$19*$J209</f>
        <v>47.721111666666658</v>
      </c>
    </row>
    <row r="210" spans="1:16">
      <c r="A210" s="43" t="s">
        <v>720</v>
      </c>
      <c r="B210" s="43" t="s">
        <v>721</v>
      </c>
      <c r="C210" s="43" t="s">
        <v>116</v>
      </c>
      <c r="D210" s="43" t="s">
        <v>121</v>
      </c>
      <c r="E210" s="44">
        <f>INDEX('Parameters | Agora'!$B$25:$D$33,MATCH($C210,'Parameters | Agora'!$A$25:$A$33,0),MATCH(E$1,'Parameters | Agora'!$B$24:$D$24,0))</f>
        <v>7.8E-2</v>
      </c>
      <c r="F210" s="44">
        <f>INDEX('Parameters | Agora'!$B$25:$D$33,MATCH($C210,'Parameters | Agora'!$A$25:$A$33,0),MATCH(F$1,'Parameters | Agora'!$B$24:$D$24,0))</f>
        <v>5.3999999999999999E-2</v>
      </c>
      <c r="G210" s="44">
        <f>INDEX('Parameters | Agora'!$B$25:$D$33,MATCH($C210,'Parameters | Agora'!$A$25:$A$33,0),MATCH(G$1,'Parameters | Agora'!$B$24:$D$24,0))</f>
        <v>0.159</v>
      </c>
      <c r="H210" s="42">
        <v>26815.565333333332</v>
      </c>
      <c r="I210" s="8">
        <f>'Parameters | Agora'!$B$22</f>
        <v>1080</v>
      </c>
      <c r="J210" s="15">
        <f>'Parameters | Agora'!$B$21</f>
        <v>20</v>
      </c>
      <c r="K210" s="45">
        <f t="shared" si="11"/>
        <v>38.733594370370369</v>
      </c>
      <c r="L210" s="45">
        <f t="shared" si="9"/>
        <v>26.815565333333332</v>
      </c>
      <c r="M210" s="45">
        <f t="shared" si="10"/>
        <v>78.956942370370356</v>
      </c>
      <c r="N210" s="46">
        <f>E210*$H210/'Parameters | Agora'!$B$19*$J210</f>
        <v>232.40156622222219</v>
      </c>
      <c r="O210" s="46">
        <f>F210*$H210/'Parameters | Agora'!$B$19*$J210</f>
        <v>160.89339200000001</v>
      </c>
      <c r="P210" s="46">
        <f>G210*$H210/'Parameters | Agora'!$B$19*$J210</f>
        <v>473.74165422222222</v>
      </c>
    </row>
    <row r="211" spans="1:16">
      <c r="A211" s="43" t="s">
        <v>778</v>
      </c>
      <c r="B211" s="43" t="s">
        <v>779</v>
      </c>
      <c r="C211" s="43" t="s">
        <v>116</v>
      </c>
      <c r="D211" s="43" t="s">
        <v>121</v>
      </c>
      <c r="E211" s="44">
        <f>INDEX('Parameters | Agora'!$B$25:$D$33,MATCH($C211,'Parameters | Agora'!$A$25:$A$33,0),MATCH(E$1,'Parameters | Agora'!$B$24:$D$24,0))</f>
        <v>7.8E-2</v>
      </c>
      <c r="F211" s="44">
        <f>INDEX('Parameters | Agora'!$B$25:$D$33,MATCH($C211,'Parameters | Agora'!$A$25:$A$33,0),MATCH(F$1,'Parameters | Agora'!$B$24:$D$24,0))</f>
        <v>5.3999999999999999E-2</v>
      </c>
      <c r="G211" s="44">
        <f>INDEX('Parameters | Agora'!$B$25:$D$33,MATCH($C211,'Parameters | Agora'!$A$25:$A$33,0),MATCH(G$1,'Parameters | Agora'!$B$24:$D$24,0))</f>
        <v>0.159</v>
      </c>
      <c r="H211" s="42">
        <v>26815.565333333332</v>
      </c>
      <c r="I211" s="8">
        <f>'Parameters | Agora'!$B$22</f>
        <v>1080</v>
      </c>
      <c r="J211" s="15">
        <f>'Parameters | Agora'!$B$21</f>
        <v>20</v>
      </c>
      <c r="K211" s="45">
        <f t="shared" si="11"/>
        <v>38.733594370370369</v>
      </c>
      <c r="L211" s="45">
        <f t="shared" si="9"/>
        <v>26.815565333333332</v>
      </c>
      <c r="M211" s="45">
        <f t="shared" si="10"/>
        <v>78.956942370370356</v>
      </c>
      <c r="N211" s="46">
        <f>E211*$H211/'Parameters | Agora'!$B$19*$J211</f>
        <v>232.40156622222219</v>
      </c>
      <c r="O211" s="46">
        <f>F211*$H211/'Parameters | Agora'!$B$19*$J211</f>
        <v>160.89339200000001</v>
      </c>
      <c r="P211" s="46">
        <f>G211*$H211/'Parameters | Agora'!$B$19*$J211</f>
        <v>473.74165422222222</v>
      </c>
    </row>
    <row r="212" spans="1:16">
      <c r="A212" s="43" t="s">
        <v>674</v>
      </c>
      <c r="B212" s="43" t="s">
        <v>675</v>
      </c>
      <c r="C212" s="43" t="s">
        <v>114</v>
      </c>
      <c r="D212" s="43" t="s">
        <v>325</v>
      </c>
      <c r="E212" s="44">
        <f>INDEX('Parameters | Agora'!$B$25:$D$33,MATCH($C212,'Parameters | Agora'!$A$25:$A$33,0),MATCH(E$1,'Parameters | Agora'!$B$24:$D$24,0))</f>
        <v>0.13600000000000001</v>
      </c>
      <c r="F212" s="44">
        <f>INDEX('Parameters | Agora'!$B$25:$D$33,MATCH($C212,'Parameters | Agora'!$A$25:$A$33,0),MATCH(F$1,'Parameters | Agora'!$B$24:$D$24,0))</f>
        <v>5.2999999999999999E-2</v>
      </c>
      <c r="G212" s="44">
        <f>INDEX('Parameters | Agora'!$B$25:$D$33,MATCH($C212,'Parameters | Agora'!$A$25:$A$33,0),MATCH(G$1,'Parameters | Agora'!$B$24:$D$24,0))</f>
        <v>0.14799999999999999</v>
      </c>
      <c r="H212" s="42">
        <v>4010</v>
      </c>
      <c r="I212" s="8">
        <f>'Parameters | Agora'!$B$22</f>
        <v>1080</v>
      </c>
      <c r="J212" s="15">
        <f>'Parameters | Agora'!$B$21</f>
        <v>20</v>
      </c>
      <c r="K212" s="45">
        <f t="shared" si="11"/>
        <v>10.099259259259259</v>
      </c>
      <c r="L212" s="45">
        <f t="shared" si="9"/>
        <v>3.9357407407407408</v>
      </c>
      <c r="M212" s="45">
        <f t="shared" si="10"/>
        <v>10.990370370370371</v>
      </c>
      <c r="N212" s="46">
        <f>E212*$H212/'Parameters | Agora'!$B$19*$J212</f>
        <v>60.595555555555556</v>
      </c>
      <c r="O212" s="46">
        <f>F212*$H212/'Parameters | Agora'!$B$19*$J212</f>
        <v>23.614444444444445</v>
      </c>
      <c r="P212" s="46">
        <f>G212*$H212/'Parameters | Agora'!$B$19*$J212</f>
        <v>65.942222222222227</v>
      </c>
    </row>
    <row r="213" spans="1:16">
      <c r="A213" s="43" t="s">
        <v>670</v>
      </c>
      <c r="B213" s="43" t="s">
        <v>671</v>
      </c>
      <c r="C213" s="43" t="s">
        <v>114</v>
      </c>
      <c r="D213" s="43" t="s">
        <v>325</v>
      </c>
      <c r="E213" s="44">
        <f>INDEX('Parameters | Agora'!$B$25:$D$33,MATCH($C213,'Parameters | Agora'!$A$25:$A$33,0),MATCH(E$1,'Parameters | Agora'!$B$24:$D$24,0))</f>
        <v>0.13600000000000001</v>
      </c>
      <c r="F213" s="44">
        <f>INDEX('Parameters | Agora'!$B$25:$D$33,MATCH($C213,'Parameters | Agora'!$A$25:$A$33,0),MATCH(F$1,'Parameters | Agora'!$B$24:$D$24,0))</f>
        <v>5.2999999999999999E-2</v>
      </c>
      <c r="G213" s="44">
        <f>INDEX('Parameters | Agora'!$B$25:$D$33,MATCH($C213,'Parameters | Agora'!$A$25:$A$33,0),MATCH(G$1,'Parameters | Agora'!$B$24:$D$24,0))</f>
        <v>0.14799999999999999</v>
      </c>
      <c r="H213" s="42">
        <v>3650</v>
      </c>
      <c r="I213" s="8">
        <f>'Parameters | Agora'!$B$22</f>
        <v>1080</v>
      </c>
      <c r="J213" s="15">
        <f>'Parameters | Agora'!$B$21</f>
        <v>20</v>
      </c>
      <c r="K213" s="45">
        <f t="shared" si="11"/>
        <v>9.1925925925925931</v>
      </c>
      <c r="L213" s="45">
        <f t="shared" si="9"/>
        <v>3.5824074074074068</v>
      </c>
      <c r="M213" s="45">
        <f t="shared" si="10"/>
        <v>10.003703703703703</v>
      </c>
      <c r="N213" s="46">
        <f>E213*$H213/'Parameters | Agora'!$B$19*$J213</f>
        <v>55.155555555555566</v>
      </c>
      <c r="O213" s="46">
        <f>F213*$H213/'Parameters | Agora'!$B$19*$J213</f>
        <v>21.494444444444444</v>
      </c>
      <c r="P213" s="46">
        <f>G213*$H213/'Parameters | Agora'!$B$19*$J213</f>
        <v>60.022222222222219</v>
      </c>
    </row>
    <row r="214" spans="1:16">
      <c r="A214" s="43" t="s">
        <v>586</v>
      </c>
      <c r="B214" s="43" t="s">
        <v>587</v>
      </c>
      <c r="C214" s="43" t="s">
        <v>114</v>
      </c>
      <c r="D214" s="43" t="s">
        <v>325</v>
      </c>
      <c r="E214" s="44">
        <f>INDEX('Parameters | Agora'!$B$25:$D$33,MATCH($C214,'Parameters | Agora'!$A$25:$A$33,0),MATCH(E$1,'Parameters | Agora'!$B$24:$D$24,0))</f>
        <v>0.13600000000000001</v>
      </c>
      <c r="F214" s="44">
        <f>INDEX('Parameters | Agora'!$B$25:$D$33,MATCH($C214,'Parameters | Agora'!$A$25:$A$33,0),MATCH(F$1,'Parameters | Agora'!$B$24:$D$24,0))</f>
        <v>5.2999999999999999E-2</v>
      </c>
      <c r="G214" s="44">
        <f>INDEX('Parameters | Agora'!$B$25:$D$33,MATCH($C214,'Parameters | Agora'!$A$25:$A$33,0),MATCH(G$1,'Parameters | Agora'!$B$24:$D$24,0))</f>
        <v>0.14799999999999999</v>
      </c>
      <c r="H214" s="42">
        <v>3660</v>
      </c>
      <c r="I214" s="8">
        <f>'Parameters | Agora'!$B$22</f>
        <v>1080</v>
      </c>
      <c r="J214" s="15">
        <f>'Parameters | Agora'!$B$21</f>
        <v>20</v>
      </c>
      <c r="K214" s="45">
        <f t="shared" si="11"/>
        <v>9.2177777777777798</v>
      </c>
      <c r="L214" s="45">
        <f t="shared" si="9"/>
        <v>3.5922222222222224</v>
      </c>
      <c r="M214" s="45">
        <f t="shared" si="10"/>
        <v>10.031111111111111</v>
      </c>
      <c r="N214" s="46">
        <f>E214*$H214/'Parameters | Agora'!$B$19*$J214</f>
        <v>55.306666666666672</v>
      </c>
      <c r="O214" s="46">
        <f>F214*$H214/'Parameters | Agora'!$B$19*$J214</f>
        <v>21.553333333333331</v>
      </c>
      <c r="P214" s="46">
        <f>G214*$H214/'Parameters | Agora'!$B$19*$J214</f>
        <v>60.186666666666667</v>
      </c>
    </row>
    <row r="215" spans="1:16">
      <c r="A215" s="43" t="s">
        <v>684</v>
      </c>
      <c r="B215" s="43" t="s">
        <v>685</v>
      </c>
      <c r="C215" s="43" t="s">
        <v>115</v>
      </c>
      <c r="D215" s="43" t="s">
        <v>322</v>
      </c>
      <c r="E215" s="44">
        <f>INDEX('Parameters | Agora'!$B$25:$D$33,MATCH($C215,'Parameters | Agora'!$A$25:$A$33,0),MATCH(E$1,'Parameters | Agora'!$B$24:$D$24,0))</f>
        <v>0.13900000000000001</v>
      </c>
      <c r="F215" s="44">
        <f>INDEX('Parameters | Agora'!$B$25:$D$33,MATCH($C215,'Parameters | Agora'!$A$25:$A$33,0),MATCH(F$1,'Parameters | Agora'!$B$24:$D$24,0))</f>
        <v>4.7E-2</v>
      </c>
      <c r="G215" s="44">
        <f>INDEX('Parameters | Agora'!$B$25:$D$33,MATCH($C215,'Parameters | Agora'!$A$25:$A$33,0),MATCH(G$1,'Parameters | Agora'!$B$24:$D$24,0))</f>
        <v>0.10299999999999999</v>
      </c>
      <c r="H215" s="42">
        <v>5660</v>
      </c>
      <c r="I215" s="8">
        <f>'Parameters | Agora'!$B$22</f>
        <v>1080</v>
      </c>
      <c r="J215" s="15">
        <f>'Parameters | Agora'!$B$21</f>
        <v>20</v>
      </c>
      <c r="K215" s="45">
        <f t="shared" si="11"/>
        <v>14.569259259259262</v>
      </c>
      <c r="L215" s="45">
        <f t="shared" si="9"/>
        <v>4.9262962962962957</v>
      </c>
      <c r="M215" s="45">
        <f t="shared" si="10"/>
        <v>10.795925925925927</v>
      </c>
      <c r="N215" s="46">
        <f>E215*$H215/'Parameters | Agora'!$B$19*$J215</f>
        <v>87.415555555555571</v>
      </c>
      <c r="O215" s="46">
        <f>F215*$H215/'Parameters | Agora'!$B$19*$J215</f>
        <v>29.557777777777776</v>
      </c>
      <c r="P215" s="46">
        <f>G215*$H215/'Parameters | Agora'!$B$19*$J215</f>
        <v>64.775555555555556</v>
      </c>
    </row>
    <row r="216" spans="1:16">
      <c r="A216" s="43" t="s">
        <v>678</v>
      </c>
      <c r="B216" s="43" t="s">
        <v>679</v>
      </c>
      <c r="C216" s="43" t="s">
        <v>117</v>
      </c>
      <c r="D216" s="43" t="s">
        <v>319</v>
      </c>
      <c r="E216" s="44">
        <f>INDEX('Parameters | Agora'!$B$25:$D$33,MATCH($C216,'Parameters | Agora'!$A$25:$A$33,0),MATCH(E$1,'Parameters | Agora'!$B$24:$D$24,0))</f>
        <v>0.16</v>
      </c>
      <c r="F216" s="44">
        <f>INDEX('Parameters | Agora'!$B$25:$D$33,MATCH($C216,'Parameters | Agora'!$A$25:$A$33,0),MATCH(F$1,'Parameters | Agora'!$B$24:$D$24,0))</f>
        <v>4.4999999999999998E-2</v>
      </c>
      <c r="G216" s="44">
        <f>INDEX('Parameters | Agora'!$B$25:$D$33,MATCH($C216,'Parameters | Agora'!$A$25:$A$33,0),MATCH(G$1,'Parameters | Agora'!$B$24:$D$24,0))</f>
        <v>0.105</v>
      </c>
      <c r="H216" s="42">
        <v>608.72</v>
      </c>
      <c r="I216" s="8">
        <f>'Parameters | Agora'!$B$22</f>
        <v>1080</v>
      </c>
      <c r="J216" s="15">
        <f>'Parameters | Agora'!$B$21</f>
        <v>20</v>
      </c>
      <c r="K216" s="45">
        <f t="shared" si="11"/>
        <v>1.8036148148148148</v>
      </c>
      <c r="L216" s="45">
        <f t="shared" si="9"/>
        <v>0.50726666666666664</v>
      </c>
      <c r="M216" s="45">
        <f t="shared" si="10"/>
        <v>1.1836222222222221</v>
      </c>
      <c r="N216" s="46">
        <f>E216*$H216/'Parameters | Agora'!$B$19*$J216</f>
        <v>10.82168888888889</v>
      </c>
      <c r="O216" s="46">
        <f>F216*$H216/'Parameters | Agora'!$B$19*$J216</f>
        <v>3.0435999999999996</v>
      </c>
      <c r="P216" s="46">
        <f>G216*$H216/'Parameters | Agora'!$B$19*$J216</f>
        <v>7.1017333333333337</v>
      </c>
    </row>
    <row r="217" spans="1:16">
      <c r="A217" s="43" t="s">
        <v>610</v>
      </c>
      <c r="B217" s="43" t="s">
        <v>611</v>
      </c>
      <c r="C217" s="43" t="s">
        <v>119</v>
      </c>
      <c r="D217" s="43" t="s">
        <v>322</v>
      </c>
      <c r="E217" s="44">
        <f>INDEX('Parameters | Agora'!$B$25:$D$33,MATCH($C217,'Parameters | Agora'!$A$25:$A$33,0),MATCH(E$1,'Parameters | Agora'!$B$24:$D$24,0))</f>
        <v>0.14399999999999999</v>
      </c>
      <c r="F217" s="44">
        <f>INDEX('Parameters | Agora'!$B$25:$D$33,MATCH($C217,'Parameters | Agora'!$A$25:$A$33,0),MATCH(F$1,'Parameters | Agora'!$B$24:$D$24,0))</f>
        <v>0.106</v>
      </c>
      <c r="G217" s="44">
        <f>INDEX('Parameters | Agora'!$B$25:$D$33,MATCH($C217,'Parameters | Agora'!$A$25:$A$33,0),MATCH(G$1,'Parameters | Agora'!$B$24:$D$24,0))</f>
        <v>0.21</v>
      </c>
      <c r="H217" s="42">
        <v>6780</v>
      </c>
      <c r="I217" s="8">
        <f>'Parameters | Agora'!$B$22</f>
        <v>1080</v>
      </c>
      <c r="J217" s="15">
        <f>'Parameters | Agora'!$B$21</f>
        <v>20</v>
      </c>
      <c r="K217" s="45">
        <f t="shared" si="11"/>
        <v>18.079999999999998</v>
      </c>
      <c r="L217" s="45">
        <f t="shared" si="9"/>
        <v>13.308888888888887</v>
      </c>
      <c r="M217" s="45">
        <f t="shared" si="10"/>
        <v>26.366666666666667</v>
      </c>
      <c r="N217" s="46">
        <f>E217*$H217/'Parameters | Agora'!$B$19*$J217</f>
        <v>108.47999999999999</v>
      </c>
      <c r="O217" s="46">
        <f>F217*$H217/'Parameters | Agora'!$B$19*$J217</f>
        <v>79.853333333333325</v>
      </c>
      <c r="P217" s="46">
        <f>G217*$H217/'Parameters | Agora'!$B$19*$J217</f>
        <v>158.19999999999999</v>
      </c>
    </row>
    <row r="218" spans="1:16">
      <c r="A218" s="43" t="s">
        <v>680</v>
      </c>
      <c r="B218" s="43" t="s">
        <v>681</v>
      </c>
      <c r="C218" s="43" t="s">
        <v>119</v>
      </c>
      <c r="D218" s="43" t="s">
        <v>325</v>
      </c>
      <c r="E218" s="44">
        <f>INDEX('Parameters | Agora'!$B$25:$D$33,MATCH($C218,'Parameters | Agora'!$A$25:$A$33,0),MATCH(E$1,'Parameters | Agora'!$B$24:$D$24,0))</f>
        <v>0.14399999999999999</v>
      </c>
      <c r="F218" s="44">
        <f>INDEX('Parameters | Agora'!$B$25:$D$33,MATCH($C218,'Parameters | Agora'!$A$25:$A$33,0),MATCH(F$1,'Parameters | Agora'!$B$24:$D$24,0))</f>
        <v>0.106</v>
      </c>
      <c r="G218" s="44">
        <f>INDEX('Parameters | Agora'!$B$25:$D$33,MATCH($C218,'Parameters | Agora'!$A$25:$A$33,0),MATCH(G$1,'Parameters | Agora'!$B$24:$D$24,0))</f>
        <v>0.21</v>
      </c>
      <c r="H218" s="42">
        <v>1240</v>
      </c>
      <c r="I218" s="8">
        <f>'Parameters | Agora'!$B$22</f>
        <v>1080</v>
      </c>
      <c r="J218" s="15">
        <f>'Parameters | Agora'!$B$21</f>
        <v>20</v>
      </c>
      <c r="K218" s="45">
        <f t="shared" si="11"/>
        <v>3.3066666666666662</v>
      </c>
      <c r="L218" s="45">
        <f t="shared" si="9"/>
        <v>2.4340740740740738</v>
      </c>
      <c r="M218" s="45">
        <f t="shared" si="10"/>
        <v>4.822222222222222</v>
      </c>
      <c r="N218" s="46">
        <f>E218*$H218/'Parameters | Agora'!$B$19*$J218</f>
        <v>19.839999999999996</v>
      </c>
      <c r="O218" s="46">
        <f>F218*$H218/'Parameters | Agora'!$B$19*$J218</f>
        <v>14.604444444444445</v>
      </c>
      <c r="P218" s="46">
        <f>G218*$H218/'Parameters | Agora'!$B$19*$J218</f>
        <v>28.93333333333333</v>
      </c>
    </row>
    <row r="219" spans="1:16">
      <c r="A219" s="43" t="s">
        <v>682</v>
      </c>
      <c r="B219" s="43" t="s">
        <v>683</v>
      </c>
      <c r="C219" s="43" t="s">
        <v>119</v>
      </c>
      <c r="D219" s="43" t="s">
        <v>325</v>
      </c>
      <c r="E219" s="44">
        <f>INDEX('Parameters | Agora'!$B$25:$D$33,MATCH($C219,'Parameters | Agora'!$A$25:$A$33,0),MATCH(E$1,'Parameters | Agora'!$B$24:$D$24,0))</f>
        <v>0.14399999999999999</v>
      </c>
      <c r="F219" s="44">
        <f>INDEX('Parameters | Agora'!$B$25:$D$33,MATCH($C219,'Parameters | Agora'!$A$25:$A$33,0),MATCH(F$1,'Parameters | Agora'!$B$24:$D$24,0))</f>
        <v>0.106</v>
      </c>
      <c r="G219" s="44">
        <f>INDEX('Parameters | Agora'!$B$25:$D$33,MATCH($C219,'Parameters | Agora'!$A$25:$A$33,0),MATCH(G$1,'Parameters | Agora'!$B$24:$D$24,0))</f>
        <v>0.21</v>
      </c>
      <c r="H219" s="42">
        <v>1710</v>
      </c>
      <c r="I219" s="8">
        <f>'Parameters | Agora'!$B$22</f>
        <v>1080</v>
      </c>
      <c r="J219" s="15">
        <f>'Parameters | Agora'!$B$21</f>
        <v>20</v>
      </c>
      <c r="K219" s="45">
        <f t="shared" si="11"/>
        <v>4.5599999999999996</v>
      </c>
      <c r="L219" s="45">
        <f t="shared" si="9"/>
        <v>3.3566666666666665</v>
      </c>
      <c r="M219" s="45">
        <f t="shared" si="10"/>
        <v>6.6499999999999995</v>
      </c>
      <c r="N219" s="46">
        <f>E219*$H219/'Parameters | Agora'!$B$19*$J219</f>
        <v>27.36</v>
      </c>
      <c r="O219" s="46">
        <f>F219*$H219/'Parameters | Agora'!$B$19*$J219</f>
        <v>20.139999999999997</v>
      </c>
      <c r="P219" s="46">
        <f>G219*$H219/'Parameters | Agora'!$B$19*$J219</f>
        <v>39.9</v>
      </c>
    </row>
  </sheetData>
  <autoFilter ref="A1:P219" xr:uid="{00000000-0001-0000-0200-000000000000}"/>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01D71-23C2-5340-B09B-C1E04C8DAA37}">
  <sheetPr>
    <tabColor theme="8"/>
  </sheetPr>
  <dimension ref="A1:M579"/>
  <sheetViews>
    <sheetView showGridLines="0" zoomScale="150" workbookViewId="0">
      <pane ySplit="1" topLeftCell="A2" activePane="bottomLeft" state="frozen"/>
      <selection pane="bottomLeft" activeCell="A2" sqref="A2"/>
    </sheetView>
  </sheetViews>
  <sheetFormatPr defaultColWidth="10.796875" defaultRowHeight="14.4"/>
  <cols>
    <col min="1" max="1" width="15.69921875" style="11" customWidth="1"/>
    <col min="2" max="2" width="9.296875" style="11" customWidth="1"/>
    <col min="3" max="3" width="13.69921875" style="11" customWidth="1"/>
    <col min="4" max="4" width="17.69921875" style="11" bestFit="1" customWidth="1"/>
    <col min="5" max="5" width="22.796875" style="11" bestFit="1" customWidth="1"/>
    <col min="6" max="6" width="9.796875" style="14" bestFit="1" customWidth="1"/>
    <col min="7" max="7" width="15.5" style="11" customWidth="1"/>
    <col min="8" max="8" width="18.296875" style="11" bestFit="1" customWidth="1"/>
    <col min="9" max="9" width="31.796875" style="11" customWidth="1"/>
    <col min="10" max="10" width="14" style="144" bestFit="1" customWidth="1"/>
    <col min="11" max="11" width="24.19921875" style="11" bestFit="1" customWidth="1"/>
    <col min="12" max="16384" width="10.796875" style="11"/>
  </cols>
  <sheetData>
    <row r="1" spans="1:11" s="119" customFormat="1" ht="45" customHeight="1" thickBot="1">
      <c r="A1" s="117" t="s">
        <v>36</v>
      </c>
      <c r="B1" s="117" t="s">
        <v>296</v>
      </c>
      <c r="C1" s="117" t="s">
        <v>297</v>
      </c>
      <c r="D1" s="117" t="s">
        <v>298</v>
      </c>
      <c r="E1" s="117" t="s">
        <v>299</v>
      </c>
      <c r="F1" s="117" t="s">
        <v>35</v>
      </c>
      <c r="G1" s="117" t="s">
        <v>1561</v>
      </c>
      <c r="H1" s="117" t="s">
        <v>1562</v>
      </c>
      <c r="I1" s="117" t="s">
        <v>1563</v>
      </c>
      <c r="J1" s="143" t="s">
        <v>1564</v>
      </c>
      <c r="K1" s="118" t="s">
        <v>1565</v>
      </c>
    </row>
    <row r="2" spans="1:11">
      <c r="A2" s="120" t="s">
        <v>314</v>
      </c>
      <c r="B2" s="120" t="s">
        <v>315</v>
      </c>
      <c r="C2" s="120" t="s">
        <v>1566</v>
      </c>
      <c r="D2" s="120" t="s">
        <v>314</v>
      </c>
      <c r="E2" s="122" t="s">
        <v>1567</v>
      </c>
      <c r="F2" s="126">
        <v>2023</v>
      </c>
      <c r="G2" s="122" t="s">
        <v>261</v>
      </c>
      <c r="H2" s="122" t="s">
        <v>1568</v>
      </c>
      <c r="I2" s="122" t="s">
        <v>1569</v>
      </c>
      <c r="J2" s="127">
        <v>0.14412711463082231</v>
      </c>
      <c r="K2" s="125" t="s">
        <v>1570</v>
      </c>
    </row>
    <row r="3" spans="1:11">
      <c r="A3" s="120" t="s">
        <v>314</v>
      </c>
      <c r="B3" s="120" t="s">
        <v>315</v>
      </c>
      <c r="C3" s="120" t="s">
        <v>1566</v>
      </c>
      <c r="D3" s="120" t="s">
        <v>314</v>
      </c>
      <c r="E3" s="122" t="s">
        <v>1567</v>
      </c>
      <c r="F3" s="126">
        <v>2023</v>
      </c>
      <c r="G3" s="122" t="s">
        <v>1571</v>
      </c>
      <c r="H3" s="122" t="s">
        <v>1568</v>
      </c>
      <c r="I3" s="122" t="s">
        <v>1572</v>
      </c>
      <c r="J3" s="127">
        <v>0.14847324639122006</v>
      </c>
      <c r="K3" s="125" t="s">
        <v>1573</v>
      </c>
    </row>
    <row r="4" spans="1:11">
      <c r="A4" s="120" t="s">
        <v>314</v>
      </c>
      <c r="B4" s="120" t="s">
        <v>315</v>
      </c>
      <c r="C4" s="120" t="s">
        <v>1566</v>
      </c>
      <c r="D4" s="120" t="s">
        <v>314</v>
      </c>
      <c r="E4" s="122" t="s">
        <v>1567</v>
      </c>
      <c r="F4" s="126">
        <v>2023</v>
      </c>
      <c r="G4" s="122" t="s">
        <v>1574</v>
      </c>
      <c r="H4" s="122" t="s">
        <v>1568</v>
      </c>
      <c r="I4" s="122" t="s">
        <v>1575</v>
      </c>
      <c r="J4" s="128">
        <v>1.9901298183175624E-3</v>
      </c>
      <c r="K4" s="125" t="s">
        <v>1576</v>
      </c>
    </row>
    <row r="5" spans="1:11">
      <c r="A5" s="120" t="s">
        <v>314</v>
      </c>
      <c r="B5" s="120" t="s">
        <v>315</v>
      </c>
      <c r="C5" s="120" t="s">
        <v>1566</v>
      </c>
      <c r="D5" s="120" t="s">
        <v>314</v>
      </c>
      <c r="E5" s="122" t="s">
        <v>1567</v>
      </c>
      <c r="F5" s="126">
        <v>2023</v>
      </c>
      <c r="G5" s="122" t="s">
        <v>1577</v>
      </c>
      <c r="H5" s="122" t="s">
        <v>1568</v>
      </c>
      <c r="I5" s="122" t="s">
        <v>1578</v>
      </c>
      <c r="J5" s="128">
        <v>9.6339014652058984E-3</v>
      </c>
      <c r="K5" s="125" t="s">
        <v>1579</v>
      </c>
    </row>
    <row r="6" spans="1:11">
      <c r="A6" s="120" t="s">
        <v>314</v>
      </c>
      <c r="B6" s="120" t="s">
        <v>315</v>
      </c>
      <c r="C6" s="120" t="s">
        <v>1566</v>
      </c>
      <c r="D6" s="120" t="s">
        <v>314</v>
      </c>
      <c r="E6" s="122" t="s">
        <v>1567</v>
      </c>
      <c r="F6" s="126">
        <v>2023</v>
      </c>
      <c r="G6" s="122" t="s">
        <v>1580</v>
      </c>
      <c r="H6" s="122" t="s">
        <v>1568</v>
      </c>
      <c r="I6" s="122" t="s">
        <v>1581</v>
      </c>
      <c r="J6" s="127">
        <v>1.7780940895785551</v>
      </c>
      <c r="K6" s="125" t="s">
        <v>304</v>
      </c>
    </row>
    <row r="7" spans="1:11">
      <c r="A7" s="120" t="s">
        <v>314</v>
      </c>
      <c r="B7" s="120" t="s">
        <v>315</v>
      </c>
      <c r="C7" s="120" t="s">
        <v>1566</v>
      </c>
      <c r="D7" s="120" t="s">
        <v>314</v>
      </c>
      <c r="E7" s="122" t="s">
        <v>1567</v>
      </c>
      <c r="F7" s="126">
        <v>2023</v>
      </c>
      <c r="G7" s="122" t="s">
        <v>1582</v>
      </c>
      <c r="H7" s="122" t="s">
        <v>1568</v>
      </c>
      <c r="I7" s="122" t="s">
        <v>1583</v>
      </c>
      <c r="J7" s="127">
        <v>2.9730497949404868</v>
      </c>
      <c r="K7" s="125" t="s">
        <v>305</v>
      </c>
    </row>
    <row r="8" spans="1:11">
      <c r="A8" s="120" t="s">
        <v>314</v>
      </c>
      <c r="B8" s="120" t="s">
        <v>315</v>
      </c>
      <c r="C8" s="120" t="s">
        <v>1566</v>
      </c>
      <c r="D8" s="120" t="s">
        <v>314</v>
      </c>
      <c r="E8" s="122" t="s">
        <v>1567</v>
      </c>
      <c r="F8" s="126">
        <v>2023</v>
      </c>
      <c r="G8" s="122" t="s">
        <v>1584</v>
      </c>
      <c r="H8" s="122" t="s">
        <v>1568</v>
      </c>
      <c r="I8" s="122" t="s">
        <v>1572</v>
      </c>
      <c r="J8" s="127">
        <v>0.29730497949404866</v>
      </c>
      <c r="K8" s="125" t="s">
        <v>1585</v>
      </c>
    </row>
    <row r="9" spans="1:11">
      <c r="A9" s="120" t="s">
        <v>314</v>
      </c>
      <c r="B9" s="120" t="s">
        <v>315</v>
      </c>
      <c r="C9" s="120" t="s">
        <v>1566</v>
      </c>
      <c r="D9" s="120" t="s">
        <v>314</v>
      </c>
      <c r="E9" s="122" t="s">
        <v>1567</v>
      </c>
      <c r="F9" s="126">
        <v>2023</v>
      </c>
      <c r="G9" s="122" t="s">
        <v>1586</v>
      </c>
      <c r="H9" s="122" t="s">
        <v>1568</v>
      </c>
      <c r="I9" s="122" t="s">
        <v>1587</v>
      </c>
      <c r="J9" s="129">
        <v>696012.5</v>
      </c>
      <c r="K9" s="125" t="s">
        <v>1588</v>
      </c>
    </row>
    <row r="10" spans="1:11">
      <c r="A10" s="120" t="s">
        <v>314</v>
      </c>
      <c r="B10" s="120" t="s">
        <v>315</v>
      </c>
      <c r="C10" s="120" t="s">
        <v>1566</v>
      </c>
      <c r="D10" s="120" t="s">
        <v>314</v>
      </c>
      <c r="E10" s="122" t="s">
        <v>1567</v>
      </c>
      <c r="F10" s="126">
        <v>2023</v>
      </c>
      <c r="G10" s="122" t="s">
        <v>1589</v>
      </c>
      <c r="H10" s="122" t="s">
        <v>1568</v>
      </c>
      <c r="I10" s="122" t="s">
        <v>1587</v>
      </c>
      <c r="J10" s="129">
        <v>150338.70000000001</v>
      </c>
      <c r="K10" s="125" t="s">
        <v>1588</v>
      </c>
    </row>
    <row r="11" spans="1:11">
      <c r="A11" s="120" t="s">
        <v>314</v>
      </c>
      <c r="B11" s="120" t="s">
        <v>315</v>
      </c>
      <c r="C11" s="120" t="s">
        <v>1566</v>
      </c>
      <c r="D11" s="120" t="s">
        <v>314</v>
      </c>
      <c r="E11" s="122" t="s">
        <v>1567</v>
      </c>
      <c r="F11" s="126">
        <v>2023</v>
      </c>
      <c r="G11" s="122" t="s">
        <v>1590</v>
      </c>
      <c r="H11" s="122" t="s">
        <v>1568</v>
      </c>
      <c r="I11" s="122" t="s">
        <v>1591</v>
      </c>
      <c r="J11" s="128">
        <v>5.0349840425531912E-4</v>
      </c>
      <c r="K11" s="125" t="s">
        <v>1592</v>
      </c>
    </row>
    <row r="12" spans="1:11">
      <c r="A12" s="120" t="s">
        <v>314</v>
      </c>
      <c r="B12" s="120" t="s">
        <v>315</v>
      </c>
      <c r="C12" s="120" t="s">
        <v>1566</v>
      </c>
      <c r="D12" s="120" t="s">
        <v>314</v>
      </c>
      <c r="E12" s="122" t="s">
        <v>1567</v>
      </c>
      <c r="F12" s="126">
        <v>2023</v>
      </c>
      <c r="G12" s="122" t="s">
        <v>1593</v>
      </c>
      <c r="H12" s="122" t="s">
        <v>1568</v>
      </c>
      <c r="I12" s="122" t="s">
        <v>1594</v>
      </c>
      <c r="J12" s="128">
        <v>1.5347818230201211E-3</v>
      </c>
      <c r="K12" s="125" t="s">
        <v>1595</v>
      </c>
    </row>
    <row r="13" spans="1:11">
      <c r="A13" s="120" t="s">
        <v>314</v>
      </c>
      <c r="B13" s="120" t="s">
        <v>315</v>
      </c>
      <c r="C13" s="120" t="s">
        <v>1566</v>
      </c>
      <c r="D13" s="120" t="s">
        <v>314</v>
      </c>
      <c r="E13" s="122" t="s">
        <v>1567</v>
      </c>
      <c r="F13" s="126">
        <v>2023</v>
      </c>
      <c r="G13" s="122" t="s">
        <v>1596</v>
      </c>
      <c r="H13" s="122" t="s">
        <v>1568</v>
      </c>
      <c r="I13" s="122" t="s">
        <v>1597</v>
      </c>
      <c r="J13" s="127">
        <v>0.12814402538341416</v>
      </c>
      <c r="K13" s="125" t="s">
        <v>1598</v>
      </c>
    </row>
    <row r="14" spans="1:11">
      <c r="A14" s="120" t="s">
        <v>314</v>
      </c>
      <c r="B14" s="120" t="s">
        <v>315</v>
      </c>
      <c r="C14" s="120" t="s">
        <v>1566</v>
      </c>
      <c r="D14" s="120" t="s">
        <v>314</v>
      </c>
      <c r="E14" s="122" t="s">
        <v>1567</v>
      </c>
      <c r="F14" s="126">
        <v>2023</v>
      </c>
      <c r="G14" s="122" t="s">
        <v>276</v>
      </c>
      <c r="H14" s="122" t="s">
        <v>1568</v>
      </c>
      <c r="I14" s="122" t="s">
        <v>1599</v>
      </c>
      <c r="J14" s="127">
        <v>29.566611000000002</v>
      </c>
      <c r="K14" s="125" t="s">
        <v>309</v>
      </c>
    </row>
    <row r="15" spans="1:11">
      <c r="A15" s="120" t="s">
        <v>314</v>
      </c>
      <c r="B15" s="120" t="s">
        <v>315</v>
      </c>
      <c r="C15" s="120" t="s">
        <v>1566</v>
      </c>
      <c r="D15" s="120" t="s">
        <v>314</v>
      </c>
      <c r="E15" s="122" t="s">
        <v>1567</v>
      </c>
      <c r="F15" s="126">
        <v>2023</v>
      </c>
      <c r="G15" s="122" t="s">
        <v>1600</v>
      </c>
      <c r="H15" s="122" t="s">
        <v>1568</v>
      </c>
      <c r="I15" s="122" t="s">
        <v>1601</v>
      </c>
      <c r="J15" s="129">
        <v>55681</v>
      </c>
      <c r="K15" s="125" t="s">
        <v>1602</v>
      </c>
    </row>
    <row r="16" spans="1:11">
      <c r="A16" s="120" t="s">
        <v>314</v>
      </c>
      <c r="B16" s="120" t="s">
        <v>315</v>
      </c>
      <c r="C16" s="120" t="s">
        <v>1566</v>
      </c>
      <c r="D16" s="120" t="s">
        <v>314</v>
      </c>
      <c r="E16" s="122" t="s">
        <v>1567</v>
      </c>
      <c r="F16" s="126">
        <v>2023</v>
      </c>
      <c r="G16" s="122" t="s">
        <v>1603</v>
      </c>
      <c r="H16" s="122" t="s">
        <v>1568</v>
      </c>
      <c r="I16" s="122" t="s">
        <v>1604</v>
      </c>
      <c r="J16" s="127">
        <v>1.2451312841103794</v>
      </c>
      <c r="K16" s="125" t="s">
        <v>1605</v>
      </c>
    </row>
    <row r="17" spans="1:11">
      <c r="A17" s="120" t="s">
        <v>314</v>
      </c>
      <c r="B17" s="120" t="s">
        <v>315</v>
      </c>
      <c r="C17" s="120" t="s">
        <v>1566</v>
      </c>
      <c r="D17" s="120" t="s">
        <v>314</v>
      </c>
      <c r="E17" s="122" t="s">
        <v>1567</v>
      </c>
      <c r="F17" s="126">
        <v>2023</v>
      </c>
      <c r="G17" s="122" t="s">
        <v>1606</v>
      </c>
      <c r="H17" s="122" t="s">
        <v>1568</v>
      </c>
      <c r="I17" s="122" t="s">
        <v>1607</v>
      </c>
      <c r="J17" s="128">
        <v>4.5747412863026186E-4</v>
      </c>
      <c r="K17" s="125" t="s">
        <v>1608</v>
      </c>
    </row>
    <row r="18" spans="1:11">
      <c r="A18" s="120" t="s">
        <v>317</v>
      </c>
      <c r="B18" s="120" t="s">
        <v>318</v>
      </c>
      <c r="C18" s="120" t="s">
        <v>118</v>
      </c>
      <c r="D18" s="120" t="s">
        <v>319</v>
      </c>
      <c r="E18" s="120" t="s">
        <v>1609</v>
      </c>
      <c r="F18" s="121">
        <v>2016</v>
      </c>
      <c r="G18" s="120" t="s">
        <v>1593</v>
      </c>
      <c r="H18" s="120" t="s">
        <v>1610</v>
      </c>
      <c r="I18" s="120"/>
      <c r="J18" s="130">
        <v>681.95038175825289</v>
      </c>
      <c r="K18" s="131" t="s">
        <v>71</v>
      </c>
    </row>
    <row r="19" spans="1:11">
      <c r="A19" s="120" t="s">
        <v>326</v>
      </c>
      <c r="B19" s="120" t="s">
        <v>327</v>
      </c>
      <c r="C19" s="120" t="s">
        <v>119</v>
      </c>
      <c r="D19" s="120" t="s">
        <v>325</v>
      </c>
      <c r="E19" s="120" t="s">
        <v>1609</v>
      </c>
      <c r="F19" s="121">
        <v>2016</v>
      </c>
      <c r="G19" s="120" t="s">
        <v>1593</v>
      </c>
      <c r="H19" s="120" t="s">
        <v>1610</v>
      </c>
      <c r="I19" s="120"/>
      <c r="J19" s="130">
        <v>1233.9679074214516</v>
      </c>
      <c r="K19" s="131" t="s">
        <v>71</v>
      </c>
    </row>
    <row r="20" spans="1:11">
      <c r="A20" s="120" t="s">
        <v>320</v>
      </c>
      <c r="B20" s="120" t="s">
        <v>321</v>
      </c>
      <c r="C20" s="120" t="s">
        <v>115</v>
      </c>
      <c r="D20" s="120" t="s">
        <v>322</v>
      </c>
      <c r="E20" s="120" t="s">
        <v>1609</v>
      </c>
      <c r="F20" s="121">
        <v>2016</v>
      </c>
      <c r="G20" s="120" t="s">
        <v>1593</v>
      </c>
      <c r="H20" s="120" t="s">
        <v>1610</v>
      </c>
      <c r="I20" s="120"/>
      <c r="J20" s="130">
        <v>1046.8616851587619</v>
      </c>
      <c r="K20" s="131" t="s">
        <v>71</v>
      </c>
    </row>
    <row r="21" spans="1:11">
      <c r="A21" s="120" t="s">
        <v>688</v>
      </c>
      <c r="B21" s="120" t="s">
        <v>689</v>
      </c>
      <c r="C21" s="120" t="s">
        <v>115</v>
      </c>
      <c r="D21" s="120" t="s">
        <v>121</v>
      </c>
      <c r="E21" s="120" t="s">
        <v>1609</v>
      </c>
      <c r="F21" s="121">
        <v>2016</v>
      </c>
      <c r="G21" s="120" t="s">
        <v>1593</v>
      </c>
      <c r="H21" s="120" t="s">
        <v>1610</v>
      </c>
      <c r="I21" s="120"/>
      <c r="J21" s="130">
        <v>2463.4427163473833</v>
      </c>
      <c r="K21" s="131" t="s">
        <v>71</v>
      </c>
    </row>
    <row r="22" spans="1:11">
      <c r="A22" s="120" t="s">
        <v>660</v>
      </c>
      <c r="B22" s="120" t="s">
        <v>661</v>
      </c>
      <c r="C22" s="120" t="s">
        <v>117</v>
      </c>
      <c r="D22" s="120" t="s">
        <v>121</v>
      </c>
      <c r="E22" s="120" t="s">
        <v>1609</v>
      </c>
      <c r="F22" s="121">
        <v>2016</v>
      </c>
      <c r="G22" s="120" t="s">
        <v>1593</v>
      </c>
      <c r="H22" s="120" t="s">
        <v>1610</v>
      </c>
      <c r="I22" s="120"/>
      <c r="J22" s="130">
        <v>-361.2971662394811</v>
      </c>
      <c r="K22" s="131" t="s">
        <v>71</v>
      </c>
    </row>
    <row r="23" spans="1:11">
      <c r="A23" s="120" t="s">
        <v>330</v>
      </c>
      <c r="B23" s="120" t="s">
        <v>331</v>
      </c>
      <c r="C23" s="120" t="s">
        <v>116</v>
      </c>
      <c r="D23" s="120" t="s">
        <v>322</v>
      </c>
      <c r="E23" s="120" t="s">
        <v>1609</v>
      </c>
      <c r="F23" s="121">
        <v>2016</v>
      </c>
      <c r="G23" s="120" t="s">
        <v>1593</v>
      </c>
      <c r="H23" s="120" t="s">
        <v>1610</v>
      </c>
      <c r="I23" s="120"/>
      <c r="J23" s="130">
        <v>2241.0487403415618</v>
      </c>
      <c r="K23" s="131" t="s">
        <v>71</v>
      </c>
    </row>
    <row r="24" spans="1:11">
      <c r="A24" s="120" t="s">
        <v>332</v>
      </c>
      <c r="B24" s="120" t="s">
        <v>333</v>
      </c>
      <c r="C24" s="120" t="s">
        <v>115</v>
      </c>
      <c r="D24" s="120" t="s">
        <v>322</v>
      </c>
      <c r="E24" s="120" t="s">
        <v>1609</v>
      </c>
      <c r="F24" s="121">
        <v>2016</v>
      </c>
      <c r="G24" s="120" t="s">
        <v>1593</v>
      </c>
      <c r="H24" s="120" t="s">
        <v>1610</v>
      </c>
      <c r="I24" s="120"/>
      <c r="J24" s="130">
        <v>374.26397006034171</v>
      </c>
      <c r="K24" s="131" t="s">
        <v>71</v>
      </c>
    </row>
    <row r="25" spans="1:11">
      <c r="A25" s="120" t="s">
        <v>334</v>
      </c>
      <c r="B25" s="120" t="s">
        <v>335</v>
      </c>
      <c r="C25" s="120" t="s">
        <v>114</v>
      </c>
      <c r="D25" s="120" t="s">
        <v>121</v>
      </c>
      <c r="E25" s="120" t="s">
        <v>1609</v>
      </c>
      <c r="F25" s="121">
        <v>2016</v>
      </c>
      <c r="G25" s="120" t="s">
        <v>1593</v>
      </c>
      <c r="H25" s="120" t="s">
        <v>1610</v>
      </c>
      <c r="I25" s="120"/>
      <c r="J25" s="130">
        <v>755.40742500012982</v>
      </c>
      <c r="K25" s="131" t="s">
        <v>71</v>
      </c>
    </row>
    <row r="26" spans="1:11">
      <c r="A26" s="120" t="s">
        <v>338</v>
      </c>
      <c r="B26" s="120" t="s">
        <v>339</v>
      </c>
      <c r="C26" s="120" t="s">
        <v>115</v>
      </c>
      <c r="D26" s="120" t="s">
        <v>322</v>
      </c>
      <c r="E26" s="120" t="s">
        <v>1609</v>
      </c>
      <c r="F26" s="121">
        <v>2016</v>
      </c>
      <c r="G26" s="120" t="s">
        <v>1593</v>
      </c>
      <c r="H26" s="120" t="s">
        <v>1610</v>
      </c>
      <c r="I26" s="120"/>
      <c r="J26" s="130">
        <v>803.53564958396294</v>
      </c>
      <c r="K26" s="131" t="s">
        <v>71</v>
      </c>
    </row>
    <row r="27" spans="1:11">
      <c r="A27" s="120" t="s">
        <v>370</v>
      </c>
      <c r="B27" s="120" t="s">
        <v>371</v>
      </c>
      <c r="C27" s="120" t="s">
        <v>119</v>
      </c>
      <c r="D27" s="120" t="s">
        <v>319</v>
      </c>
      <c r="E27" s="120" t="s">
        <v>1609</v>
      </c>
      <c r="F27" s="121">
        <v>2016</v>
      </c>
      <c r="G27" s="120" t="s">
        <v>1593</v>
      </c>
      <c r="H27" s="120" t="s">
        <v>1610</v>
      </c>
      <c r="I27" s="120"/>
      <c r="J27" s="130">
        <v>599.86315443697936</v>
      </c>
      <c r="K27" s="131" t="s">
        <v>71</v>
      </c>
    </row>
    <row r="28" spans="1:11">
      <c r="A28" s="120" t="s">
        <v>348</v>
      </c>
      <c r="B28" s="120" t="s">
        <v>349</v>
      </c>
      <c r="C28" s="120" t="s">
        <v>115</v>
      </c>
      <c r="D28" s="120" t="s">
        <v>121</v>
      </c>
      <c r="E28" s="120" t="s">
        <v>1609</v>
      </c>
      <c r="F28" s="121">
        <v>2016</v>
      </c>
      <c r="G28" s="120" t="s">
        <v>1593</v>
      </c>
      <c r="H28" s="120" t="s">
        <v>1610</v>
      </c>
      <c r="I28" s="120"/>
      <c r="J28" s="130">
        <v>6454.2743844740726</v>
      </c>
      <c r="K28" s="131" t="s">
        <v>71</v>
      </c>
    </row>
    <row r="29" spans="1:11">
      <c r="A29" s="120" t="s">
        <v>352</v>
      </c>
      <c r="B29" s="120" t="s">
        <v>353</v>
      </c>
      <c r="C29" s="120" t="s">
        <v>119</v>
      </c>
      <c r="D29" s="120" t="s">
        <v>325</v>
      </c>
      <c r="E29" s="120" t="s">
        <v>1609</v>
      </c>
      <c r="F29" s="121">
        <v>2016</v>
      </c>
      <c r="G29" s="120" t="s">
        <v>1593</v>
      </c>
      <c r="H29" s="120" t="s">
        <v>1610</v>
      </c>
      <c r="I29" s="120"/>
      <c r="J29" s="130">
        <v>1104.8366742906298</v>
      </c>
      <c r="K29" s="131" t="s">
        <v>71</v>
      </c>
    </row>
    <row r="30" spans="1:11">
      <c r="A30" s="120" t="s">
        <v>368</v>
      </c>
      <c r="B30" s="120" t="s">
        <v>369</v>
      </c>
      <c r="C30" s="120" t="s">
        <v>119</v>
      </c>
      <c r="D30" s="120" t="s">
        <v>319</v>
      </c>
      <c r="E30" s="120" t="s">
        <v>1609</v>
      </c>
      <c r="F30" s="121">
        <v>2016</v>
      </c>
      <c r="G30" s="120" t="s">
        <v>1593</v>
      </c>
      <c r="H30" s="120" t="s">
        <v>1610</v>
      </c>
      <c r="I30" s="120"/>
      <c r="J30" s="130">
        <v>739.98131036124687</v>
      </c>
      <c r="K30" s="131" t="s">
        <v>71</v>
      </c>
    </row>
    <row r="31" spans="1:11">
      <c r="A31" s="120" t="s">
        <v>342</v>
      </c>
      <c r="B31" s="120" t="s">
        <v>343</v>
      </c>
      <c r="C31" s="120" t="s">
        <v>118</v>
      </c>
      <c r="D31" s="120" t="s">
        <v>325</v>
      </c>
      <c r="E31" s="120" t="s">
        <v>1609</v>
      </c>
      <c r="F31" s="121">
        <v>2016</v>
      </c>
      <c r="G31" s="120" t="s">
        <v>1593</v>
      </c>
      <c r="H31" s="120" t="s">
        <v>1610</v>
      </c>
      <c r="I31" s="120"/>
      <c r="J31" s="130">
        <v>1150.4420889168396</v>
      </c>
      <c r="K31" s="131" t="s">
        <v>71</v>
      </c>
    </row>
    <row r="32" spans="1:11">
      <c r="A32" s="120" t="s">
        <v>366</v>
      </c>
      <c r="B32" s="120" t="s">
        <v>367</v>
      </c>
      <c r="C32" s="120" t="s">
        <v>115</v>
      </c>
      <c r="D32" s="120" t="s">
        <v>322</v>
      </c>
      <c r="E32" s="120" t="s">
        <v>1609</v>
      </c>
      <c r="F32" s="121">
        <v>2016</v>
      </c>
      <c r="G32" s="120" t="s">
        <v>1593</v>
      </c>
      <c r="H32" s="120" t="s">
        <v>1610</v>
      </c>
      <c r="I32" s="120"/>
      <c r="J32" s="130">
        <v>1101.0028675621643</v>
      </c>
      <c r="K32" s="131" t="s">
        <v>71</v>
      </c>
    </row>
    <row r="33" spans="1:11">
      <c r="A33" s="120" t="s">
        <v>690</v>
      </c>
      <c r="B33" s="120" t="s">
        <v>691</v>
      </c>
      <c r="C33" s="120" t="s">
        <v>117</v>
      </c>
      <c r="D33" s="120" t="s">
        <v>121</v>
      </c>
      <c r="E33" s="120" t="s">
        <v>1609</v>
      </c>
      <c r="F33" s="121">
        <v>2016</v>
      </c>
      <c r="G33" s="120" t="s">
        <v>1593</v>
      </c>
      <c r="H33" s="120" t="s">
        <v>1610</v>
      </c>
      <c r="I33" s="120"/>
      <c r="J33" s="130">
        <v>-319.55615303213006</v>
      </c>
      <c r="K33" s="131" t="s">
        <v>71</v>
      </c>
    </row>
    <row r="34" spans="1:11">
      <c r="A34" s="120" t="s">
        <v>346</v>
      </c>
      <c r="B34" s="120" t="s">
        <v>347</v>
      </c>
      <c r="C34" s="120" t="s">
        <v>115</v>
      </c>
      <c r="D34" s="120" t="s">
        <v>322</v>
      </c>
      <c r="E34" s="120" t="s">
        <v>1609</v>
      </c>
      <c r="F34" s="121">
        <v>2016</v>
      </c>
      <c r="G34" s="120" t="s">
        <v>1593</v>
      </c>
      <c r="H34" s="120" t="s">
        <v>1610</v>
      </c>
      <c r="I34" s="120"/>
      <c r="J34" s="130">
        <v>2376.4334731511726</v>
      </c>
      <c r="K34" s="131" t="s">
        <v>71</v>
      </c>
    </row>
    <row r="35" spans="1:11">
      <c r="A35" s="120" t="s">
        <v>350</v>
      </c>
      <c r="B35" s="120" t="s">
        <v>351</v>
      </c>
      <c r="C35" s="120" t="s">
        <v>116</v>
      </c>
      <c r="D35" s="120" t="s">
        <v>322</v>
      </c>
      <c r="E35" s="120" t="s">
        <v>1609</v>
      </c>
      <c r="F35" s="121">
        <v>2016</v>
      </c>
      <c r="G35" s="120" t="s">
        <v>1593</v>
      </c>
      <c r="H35" s="120" t="s">
        <v>1610</v>
      </c>
      <c r="I35" s="120"/>
      <c r="J35" s="130">
        <v>1232.88188296472</v>
      </c>
      <c r="K35" s="131" t="s">
        <v>71</v>
      </c>
    </row>
    <row r="36" spans="1:11">
      <c r="A36" s="120" t="s">
        <v>356</v>
      </c>
      <c r="B36" s="120" t="s">
        <v>357</v>
      </c>
      <c r="C36" s="120" t="s">
        <v>116</v>
      </c>
      <c r="D36" s="120" t="s">
        <v>325</v>
      </c>
      <c r="E36" s="120" t="s">
        <v>1609</v>
      </c>
      <c r="F36" s="121">
        <v>2016</v>
      </c>
      <c r="G36" s="120" t="s">
        <v>1593</v>
      </c>
      <c r="H36" s="120" t="s">
        <v>1610</v>
      </c>
      <c r="I36" s="120"/>
      <c r="J36" s="130">
        <v>929.66288106591082</v>
      </c>
      <c r="K36" s="131" t="s">
        <v>71</v>
      </c>
    </row>
    <row r="37" spans="1:11">
      <c r="A37" s="120" t="s">
        <v>362</v>
      </c>
      <c r="B37" s="120" t="s">
        <v>363</v>
      </c>
      <c r="C37" s="120" t="s">
        <v>116</v>
      </c>
      <c r="D37" s="120" t="s">
        <v>322</v>
      </c>
      <c r="E37" s="120" t="s">
        <v>1609</v>
      </c>
      <c r="F37" s="121">
        <v>2016</v>
      </c>
      <c r="G37" s="120" t="s">
        <v>1593</v>
      </c>
      <c r="H37" s="120" t="s">
        <v>1610</v>
      </c>
      <c r="I37" s="120"/>
      <c r="J37" s="130">
        <v>1251.9257417663391</v>
      </c>
      <c r="K37" s="131" t="s">
        <v>71</v>
      </c>
    </row>
    <row r="38" spans="1:11">
      <c r="A38" s="120" t="s">
        <v>354</v>
      </c>
      <c r="B38" s="120" t="s">
        <v>355</v>
      </c>
      <c r="C38" s="120" t="s">
        <v>118</v>
      </c>
      <c r="D38" s="120" t="s">
        <v>325</v>
      </c>
      <c r="E38" s="120" t="s">
        <v>1609</v>
      </c>
      <c r="F38" s="121">
        <v>2016</v>
      </c>
      <c r="G38" s="120" t="s">
        <v>1593</v>
      </c>
      <c r="H38" s="120" t="s">
        <v>1610</v>
      </c>
      <c r="I38" s="120"/>
      <c r="J38" s="130">
        <v>634.23370111073655</v>
      </c>
      <c r="K38" s="131" t="s">
        <v>71</v>
      </c>
    </row>
    <row r="39" spans="1:11">
      <c r="A39" s="120" t="s">
        <v>360</v>
      </c>
      <c r="B39" s="120" t="s">
        <v>361</v>
      </c>
      <c r="C39" s="120" t="s">
        <v>119</v>
      </c>
      <c r="D39" s="120" t="s">
        <v>322</v>
      </c>
      <c r="E39" s="120" t="s">
        <v>1609</v>
      </c>
      <c r="F39" s="121">
        <v>2016</v>
      </c>
      <c r="G39" s="120" t="s">
        <v>1593</v>
      </c>
      <c r="H39" s="120" t="s">
        <v>1610</v>
      </c>
      <c r="I39" s="120"/>
      <c r="J39" s="130">
        <v>445.11067934945783</v>
      </c>
      <c r="K39" s="131" t="s">
        <v>71</v>
      </c>
    </row>
    <row r="40" spans="1:11">
      <c r="A40" s="120" t="s">
        <v>380</v>
      </c>
      <c r="B40" s="120" t="s">
        <v>381</v>
      </c>
      <c r="C40" s="120" t="s">
        <v>119</v>
      </c>
      <c r="D40" s="120" t="s">
        <v>319</v>
      </c>
      <c r="E40" s="120" t="s">
        <v>1609</v>
      </c>
      <c r="F40" s="121">
        <v>2016</v>
      </c>
      <c r="G40" s="120" t="s">
        <v>1593</v>
      </c>
      <c r="H40" s="120" t="s">
        <v>1610</v>
      </c>
      <c r="I40" s="120"/>
      <c r="J40" s="130">
        <v>1252.7234778017298</v>
      </c>
      <c r="K40" s="131" t="s">
        <v>71</v>
      </c>
    </row>
    <row r="41" spans="1:11">
      <c r="A41" s="120" t="s">
        <v>378</v>
      </c>
      <c r="B41" s="120" t="s">
        <v>379</v>
      </c>
      <c r="C41" s="120" t="s">
        <v>120</v>
      </c>
      <c r="D41" s="120" t="s">
        <v>121</v>
      </c>
      <c r="E41" s="120" t="s">
        <v>1609</v>
      </c>
      <c r="F41" s="121">
        <v>2016</v>
      </c>
      <c r="G41" s="120" t="s">
        <v>1593</v>
      </c>
      <c r="H41" s="120" t="s">
        <v>1610</v>
      </c>
      <c r="I41" s="120"/>
      <c r="J41" s="130">
        <v>968.76979347508006</v>
      </c>
      <c r="K41" s="131" t="s">
        <v>71</v>
      </c>
    </row>
    <row r="42" spans="1:11">
      <c r="A42" s="120" t="s">
        <v>630</v>
      </c>
      <c r="B42" s="120" t="s">
        <v>631</v>
      </c>
      <c r="C42" s="120" t="s">
        <v>115</v>
      </c>
      <c r="D42" s="120" t="s">
        <v>121</v>
      </c>
      <c r="E42" s="120" t="s">
        <v>1609</v>
      </c>
      <c r="F42" s="121">
        <v>2016</v>
      </c>
      <c r="G42" s="120" t="s">
        <v>1593</v>
      </c>
      <c r="H42" s="120" t="s">
        <v>1610</v>
      </c>
      <c r="I42" s="120"/>
      <c r="J42" s="130">
        <v>6696.3865248012025</v>
      </c>
      <c r="K42" s="131" t="s">
        <v>71</v>
      </c>
    </row>
    <row r="43" spans="1:11">
      <c r="A43" s="120" t="s">
        <v>384</v>
      </c>
      <c r="B43" s="120" t="s">
        <v>385</v>
      </c>
      <c r="C43" s="120" t="s">
        <v>116</v>
      </c>
      <c r="D43" s="120" t="s">
        <v>121</v>
      </c>
      <c r="E43" s="120" t="s">
        <v>1609</v>
      </c>
      <c r="F43" s="121">
        <v>2016</v>
      </c>
      <c r="G43" s="120" t="s">
        <v>1593</v>
      </c>
      <c r="H43" s="120" t="s">
        <v>1610</v>
      </c>
      <c r="I43" s="120"/>
      <c r="J43" s="130">
        <v>1468.8966037074731</v>
      </c>
      <c r="K43" s="131" t="s">
        <v>71</v>
      </c>
    </row>
    <row r="44" spans="1:11">
      <c r="A44" s="120" t="s">
        <v>386</v>
      </c>
      <c r="B44" s="120" t="s">
        <v>387</v>
      </c>
      <c r="C44" s="120" t="s">
        <v>114</v>
      </c>
      <c r="D44" s="120" t="s">
        <v>322</v>
      </c>
      <c r="E44" s="120" t="s">
        <v>1609</v>
      </c>
      <c r="F44" s="121">
        <v>2016</v>
      </c>
      <c r="G44" s="120" t="s">
        <v>1593</v>
      </c>
      <c r="H44" s="120" t="s">
        <v>1610</v>
      </c>
      <c r="I44" s="120"/>
      <c r="J44" s="130">
        <v>1634.1707438001924</v>
      </c>
      <c r="K44" s="131" t="s">
        <v>71</v>
      </c>
    </row>
    <row r="45" spans="1:11">
      <c r="A45" s="120" t="s">
        <v>744</v>
      </c>
      <c r="B45" s="120" t="s">
        <v>399</v>
      </c>
      <c r="C45" s="120" t="s">
        <v>119</v>
      </c>
      <c r="D45" s="120" t="s">
        <v>325</v>
      </c>
      <c r="E45" s="120" t="s">
        <v>1609</v>
      </c>
      <c r="F45" s="121">
        <v>2016</v>
      </c>
      <c r="G45" s="120" t="s">
        <v>1593</v>
      </c>
      <c r="H45" s="120" t="s">
        <v>1610</v>
      </c>
      <c r="I45" s="120"/>
      <c r="J45" s="130">
        <v>1399.3015184792941</v>
      </c>
      <c r="K45" s="131" t="s">
        <v>71</v>
      </c>
    </row>
    <row r="46" spans="1:11">
      <c r="A46" s="120" t="s">
        <v>376</v>
      </c>
      <c r="B46" s="120" t="s">
        <v>377</v>
      </c>
      <c r="C46" s="120" t="s">
        <v>119</v>
      </c>
      <c r="D46" s="120" t="s">
        <v>325</v>
      </c>
      <c r="E46" s="120" t="s">
        <v>1609</v>
      </c>
      <c r="F46" s="121">
        <v>2016</v>
      </c>
      <c r="G46" s="120" t="s">
        <v>1593</v>
      </c>
      <c r="H46" s="120" t="s">
        <v>1610</v>
      </c>
      <c r="I46" s="120"/>
      <c r="J46" s="130">
        <v>1247.8367220138728</v>
      </c>
      <c r="K46" s="131" t="s">
        <v>71</v>
      </c>
    </row>
    <row r="47" spans="1:11">
      <c r="A47" s="120" t="s">
        <v>388</v>
      </c>
      <c r="B47" s="120" t="s">
        <v>389</v>
      </c>
      <c r="C47" s="120" t="s">
        <v>116</v>
      </c>
      <c r="D47" s="120" t="s">
        <v>322</v>
      </c>
      <c r="E47" s="120" t="s">
        <v>1609</v>
      </c>
      <c r="F47" s="121">
        <v>2016</v>
      </c>
      <c r="G47" s="120" t="s">
        <v>1593</v>
      </c>
      <c r="H47" s="120" t="s">
        <v>1610</v>
      </c>
      <c r="I47" s="120"/>
      <c r="J47" s="130">
        <v>1353.7229187805949</v>
      </c>
      <c r="K47" s="131" t="s">
        <v>71</v>
      </c>
    </row>
    <row r="48" spans="1:11">
      <c r="A48" s="120" t="s">
        <v>396</v>
      </c>
      <c r="B48" s="120" t="s">
        <v>397</v>
      </c>
      <c r="C48" s="120" t="s">
        <v>116</v>
      </c>
      <c r="D48" s="120" t="s">
        <v>322</v>
      </c>
      <c r="E48" s="120" t="s">
        <v>1609</v>
      </c>
      <c r="F48" s="121">
        <v>2016</v>
      </c>
      <c r="G48" s="120" t="s">
        <v>1593</v>
      </c>
      <c r="H48" s="120" t="s">
        <v>1610</v>
      </c>
      <c r="I48" s="120"/>
      <c r="J48" s="130">
        <v>1504.9681309821638</v>
      </c>
      <c r="K48" s="131" t="s">
        <v>71</v>
      </c>
    </row>
    <row r="49" spans="1:11">
      <c r="A49" s="120" t="s">
        <v>400</v>
      </c>
      <c r="B49" s="120" t="s">
        <v>401</v>
      </c>
      <c r="C49" s="120" t="s">
        <v>116</v>
      </c>
      <c r="D49" s="120" t="s">
        <v>322</v>
      </c>
      <c r="E49" s="120" t="s">
        <v>1609</v>
      </c>
      <c r="F49" s="121">
        <v>2016</v>
      </c>
      <c r="G49" s="120" t="s">
        <v>1593</v>
      </c>
      <c r="H49" s="120" t="s">
        <v>1610</v>
      </c>
      <c r="I49" s="120"/>
      <c r="J49" s="130">
        <v>1048.2058720706934</v>
      </c>
      <c r="K49" s="131" t="s">
        <v>71</v>
      </c>
    </row>
    <row r="50" spans="1:11">
      <c r="A50" s="120" t="s">
        <v>402</v>
      </c>
      <c r="B50" s="120" t="s">
        <v>403</v>
      </c>
      <c r="C50" s="120" t="s">
        <v>115</v>
      </c>
      <c r="D50" s="120" t="s">
        <v>121</v>
      </c>
      <c r="E50" s="120" t="s">
        <v>1609</v>
      </c>
      <c r="F50" s="121">
        <v>2016</v>
      </c>
      <c r="G50" s="120" t="s">
        <v>1593</v>
      </c>
      <c r="H50" s="120" t="s">
        <v>1610</v>
      </c>
      <c r="I50" s="120"/>
      <c r="J50" s="130">
        <v>1114.9631045886306</v>
      </c>
      <c r="K50" s="131" t="s">
        <v>71</v>
      </c>
    </row>
    <row r="51" spans="1:11">
      <c r="A51" s="120" t="s">
        <v>436</v>
      </c>
      <c r="B51" s="120" t="s">
        <v>437</v>
      </c>
      <c r="C51" s="120" t="s">
        <v>115</v>
      </c>
      <c r="D51" s="120" t="s">
        <v>121</v>
      </c>
      <c r="E51" s="120" t="s">
        <v>1609</v>
      </c>
      <c r="F51" s="121">
        <v>2016</v>
      </c>
      <c r="G51" s="120" t="s">
        <v>1593</v>
      </c>
      <c r="H51" s="120" t="s">
        <v>1610</v>
      </c>
      <c r="I51" s="120"/>
      <c r="J51" s="130">
        <v>2265.8875597603619</v>
      </c>
      <c r="K51" s="131" t="s">
        <v>71</v>
      </c>
    </row>
    <row r="52" spans="1:11">
      <c r="A52" s="120" t="s">
        <v>408</v>
      </c>
      <c r="B52" s="120" t="s">
        <v>409</v>
      </c>
      <c r="C52" s="120" t="s">
        <v>117</v>
      </c>
      <c r="D52" s="120" t="s">
        <v>325</v>
      </c>
      <c r="E52" s="120" t="s">
        <v>1609</v>
      </c>
      <c r="F52" s="121">
        <v>2016</v>
      </c>
      <c r="G52" s="120" t="s">
        <v>1593</v>
      </c>
      <c r="H52" s="120" t="s">
        <v>1610</v>
      </c>
      <c r="I52" s="120"/>
      <c r="J52" s="130">
        <v>341.09869800503878</v>
      </c>
      <c r="K52" s="131" t="s">
        <v>71</v>
      </c>
    </row>
    <row r="53" spans="1:11">
      <c r="A53" s="120" t="s">
        <v>406</v>
      </c>
      <c r="B53" s="120" t="s">
        <v>407</v>
      </c>
      <c r="C53" s="120" t="s">
        <v>115</v>
      </c>
      <c r="D53" s="120" t="s">
        <v>121</v>
      </c>
      <c r="E53" s="120" t="s">
        <v>1609</v>
      </c>
      <c r="F53" s="121">
        <v>2016</v>
      </c>
      <c r="G53" s="120" t="s">
        <v>1593</v>
      </c>
      <c r="H53" s="120" t="s">
        <v>1610</v>
      </c>
      <c r="I53" s="120"/>
      <c r="J53" s="130">
        <v>1132.8322520793554</v>
      </c>
      <c r="K53" s="131" t="s">
        <v>71</v>
      </c>
    </row>
    <row r="54" spans="1:11">
      <c r="A54" s="120" t="s">
        <v>412</v>
      </c>
      <c r="B54" s="120" t="s">
        <v>413</v>
      </c>
      <c r="C54" s="120" t="s">
        <v>116</v>
      </c>
      <c r="D54" s="120" t="s">
        <v>322</v>
      </c>
      <c r="E54" s="120" t="s">
        <v>1609</v>
      </c>
      <c r="F54" s="121">
        <v>2016</v>
      </c>
      <c r="G54" s="120" t="s">
        <v>1593</v>
      </c>
      <c r="H54" s="120" t="s">
        <v>1610</v>
      </c>
      <c r="I54" s="120"/>
      <c r="J54" s="130">
        <v>1304.7415480283248</v>
      </c>
      <c r="K54" s="131" t="s">
        <v>71</v>
      </c>
    </row>
    <row r="55" spans="1:11">
      <c r="A55" s="120" t="s">
        <v>323</v>
      </c>
      <c r="B55" s="120" t="s">
        <v>324</v>
      </c>
      <c r="C55" s="120" t="s">
        <v>117</v>
      </c>
      <c r="D55" s="120" t="s">
        <v>325</v>
      </c>
      <c r="E55" s="120" t="s">
        <v>1609</v>
      </c>
      <c r="F55" s="121">
        <v>2016</v>
      </c>
      <c r="G55" s="120" t="s">
        <v>1593</v>
      </c>
      <c r="H55" s="120" t="s">
        <v>1610</v>
      </c>
      <c r="I55" s="120"/>
      <c r="J55" s="130">
        <v>796.58850332032546</v>
      </c>
      <c r="K55" s="131" t="s">
        <v>71</v>
      </c>
    </row>
    <row r="56" spans="1:11">
      <c r="A56" s="120" t="s">
        <v>414</v>
      </c>
      <c r="B56" s="120" t="s">
        <v>415</v>
      </c>
      <c r="C56" s="120" t="s">
        <v>116</v>
      </c>
      <c r="D56" s="120" t="s">
        <v>322</v>
      </c>
      <c r="E56" s="120" t="s">
        <v>1609</v>
      </c>
      <c r="F56" s="121">
        <v>2016</v>
      </c>
      <c r="G56" s="120" t="s">
        <v>1593</v>
      </c>
      <c r="H56" s="120" t="s">
        <v>1610</v>
      </c>
      <c r="I56" s="120"/>
      <c r="J56" s="130">
        <v>1154.0147004150685</v>
      </c>
      <c r="K56" s="131" t="s">
        <v>71</v>
      </c>
    </row>
    <row r="57" spans="1:11">
      <c r="A57" s="120" t="s">
        <v>696</v>
      </c>
      <c r="B57" s="120" t="s">
        <v>697</v>
      </c>
      <c r="C57" s="120" t="s">
        <v>119</v>
      </c>
      <c r="D57" s="120" t="s">
        <v>319</v>
      </c>
      <c r="E57" s="120" t="s">
        <v>1609</v>
      </c>
      <c r="F57" s="121">
        <v>2016</v>
      </c>
      <c r="G57" s="120" t="s">
        <v>1593</v>
      </c>
      <c r="H57" s="120" t="s">
        <v>1610</v>
      </c>
      <c r="I57" s="120"/>
      <c r="J57" s="130">
        <v>210.92733943218363</v>
      </c>
      <c r="K57" s="131" t="s">
        <v>71</v>
      </c>
    </row>
    <row r="58" spans="1:11">
      <c r="A58" s="120" t="s">
        <v>612</v>
      </c>
      <c r="B58" s="120" t="s">
        <v>613</v>
      </c>
      <c r="C58" s="120" t="s">
        <v>115</v>
      </c>
      <c r="D58" s="120" t="s">
        <v>121</v>
      </c>
      <c r="E58" s="120" t="s">
        <v>1609</v>
      </c>
      <c r="F58" s="121">
        <v>2016</v>
      </c>
      <c r="G58" s="120" t="s">
        <v>1593</v>
      </c>
      <c r="H58" s="120" t="s">
        <v>1610</v>
      </c>
      <c r="I58" s="120"/>
      <c r="J58" s="130">
        <v>996.93663098481375</v>
      </c>
      <c r="K58" s="131" t="s">
        <v>71</v>
      </c>
    </row>
    <row r="59" spans="1:11">
      <c r="A59" s="120" t="s">
        <v>424</v>
      </c>
      <c r="B59" s="120" t="s">
        <v>425</v>
      </c>
      <c r="C59" s="120" t="s">
        <v>119</v>
      </c>
      <c r="D59" s="120" t="s">
        <v>319</v>
      </c>
      <c r="E59" s="120" t="s">
        <v>1609</v>
      </c>
      <c r="F59" s="121">
        <v>2016</v>
      </c>
      <c r="G59" s="120" t="s">
        <v>1593</v>
      </c>
      <c r="H59" s="120" t="s">
        <v>1610</v>
      </c>
      <c r="I59" s="120"/>
      <c r="J59" s="130">
        <v>442.81090530689926</v>
      </c>
      <c r="K59" s="131" t="s">
        <v>71</v>
      </c>
    </row>
    <row r="60" spans="1:11">
      <c r="A60" s="120" t="s">
        <v>55</v>
      </c>
      <c r="B60" s="120" t="s">
        <v>56</v>
      </c>
      <c r="C60" s="120" t="s">
        <v>115</v>
      </c>
      <c r="D60" s="120" t="s">
        <v>121</v>
      </c>
      <c r="E60" s="120" t="s">
        <v>1609</v>
      </c>
      <c r="F60" s="121">
        <v>2016</v>
      </c>
      <c r="G60" s="120" t="s">
        <v>1593</v>
      </c>
      <c r="H60" s="120" t="s">
        <v>1610</v>
      </c>
      <c r="I60" s="120"/>
      <c r="J60" s="130">
        <v>4147.9898751621467</v>
      </c>
      <c r="K60" s="131" t="s">
        <v>71</v>
      </c>
    </row>
    <row r="61" spans="1:11">
      <c r="A61" s="120" t="s">
        <v>434</v>
      </c>
      <c r="B61" s="120" t="s">
        <v>435</v>
      </c>
      <c r="C61" s="120" t="s">
        <v>115</v>
      </c>
      <c r="D61" s="120" t="s">
        <v>322</v>
      </c>
      <c r="E61" s="120" t="s">
        <v>1609</v>
      </c>
      <c r="F61" s="121">
        <v>2016</v>
      </c>
      <c r="G61" s="120" t="s">
        <v>1593</v>
      </c>
      <c r="H61" s="120" t="s">
        <v>1610</v>
      </c>
      <c r="I61" s="120"/>
      <c r="J61" s="130">
        <v>1049.0331821371374</v>
      </c>
      <c r="K61" s="131" t="s">
        <v>71</v>
      </c>
    </row>
    <row r="62" spans="1:11">
      <c r="A62" s="120" t="s">
        <v>438</v>
      </c>
      <c r="B62" s="120" t="s">
        <v>439</v>
      </c>
      <c r="C62" s="120" t="s">
        <v>119</v>
      </c>
      <c r="D62" s="120" t="s">
        <v>325</v>
      </c>
      <c r="E62" s="120" t="s">
        <v>1609</v>
      </c>
      <c r="F62" s="121">
        <v>2016</v>
      </c>
      <c r="G62" s="120" t="s">
        <v>1593</v>
      </c>
      <c r="H62" s="120" t="s">
        <v>1610</v>
      </c>
      <c r="I62" s="120"/>
      <c r="J62" s="130">
        <v>1161.0784882643893</v>
      </c>
      <c r="K62" s="131" t="s">
        <v>71</v>
      </c>
    </row>
    <row r="63" spans="1:11">
      <c r="A63" s="120" t="s">
        <v>446</v>
      </c>
      <c r="B63" s="120" t="s">
        <v>447</v>
      </c>
      <c r="C63" s="120" t="s">
        <v>119</v>
      </c>
      <c r="D63" s="120" t="s">
        <v>325</v>
      </c>
      <c r="E63" s="120" t="s">
        <v>1609</v>
      </c>
      <c r="F63" s="121">
        <v>2016</v>
      </c>
      <c r="G63" s="120" t="s">
        <v>1593</v>
      </c>
      <c r="H63" s="120" t="s">
        <v>1610</v>
      </c>
      <c r="I63" s="120"/>
      <c r="J63" s="130">
        <v>1187.5619242802618</v>
      </c>
      <c r="K63" s="131" t="s">
        <v>71</v>
      </c>
    </row>
    <row r="64" spans="1:11">
      <c r="A64" s="120" t="s">
        <v>448</v>
      </c>
      <c r="B64" s="120" t="s">
        <v>449</v>
      </c>
      <c r="C64" s="120" t="s">
        <v>119</v>
      </c>
      <c r="D64" s="120" t="s">
        <v>319</v>
      </c>
      <c r="E64" s="120" t="s">
        <v>1609</v>
      </c>
      <c r="F64" s="121">
        <v>2016</v>
      </c>
      <c r="G64" s="120" t="s">
        <v>1593</v>
      </c>
      <c r="H64" s="120" t="s">
        <v>1610</v>
      </c>
      <c r="I64" s="120"/>
      <c r="J64" s="130">
        <v>1072.3870177247902</v>
      </c>
      <c r="K64" s="131" t="s">
        <v>71</v>
      </c>
    </row>
    <row r="65" spans="1:11">
      <c r="A65" s="120" t="s">
        <v>440</v>
      </c>
      <c r="B65" s="120" t="s">
        <v>441</v>
      </c>
      <c r="C65" s="120" t="s">
        <v>115</v>
      </c>
      <c r="D65" s="120" t="s">
        <v>121</v>
      </c>
      <c r="E65" s="120" t="s">
        <v>1609</v>
      </c>
      <c r="F65" s="121">
        <v>2016</v>
      </c>
      <c r="G65" s="120" t="s">
        <v>1593</v>
      </c>
      <c r="H65" s="120" t="s">
        <v>1610</v>
      </c>
      <c r="I65" s="120"/>
      <c r="J65" s="130">
        <v>1012.6760621387114</v>
      </c>
      <c r="K65" s="131" t="s">
        <v>71</v>
      </c>
    </row>
    <row r="66" spans="1:11">
      <c r="A66" s="120" t="s">
        <v>444</v>
      </c>
      <c r="B66" s="120" t="s">
        <v>445</v>
      </c>
      <c r="C66" s="120" t="s">
        <v>116</v>
      </c>
      <c r="D66" s="120" t="s">
        <v>322</v>
      </c>
      <c r="E66" s="120" t="s">
        <v>1609</v>
      </c>
      <c r="F66" s="121">
        <v>2016</v>
      </c>
      <c r="G66" s="120" t="s">
        <v>1593</v>
      </c>
      <c r="H66" s="120" t="s">
        <v>1610</v>
      </c>
      <c r="I66" s="120"/>
      <c r="J66" s="130">
        <v>1264.1454560693014</v>
      </c>
      <c r="K66" s="131" t="s">
        <v>71</v>
      </c>
    </row>
    <row r="67" spans="1:11">
      <c r="A67" s="120" t="s">
        <v>450</v>
      </c>
      <c r="B67" s="120" t="s">
        <v>451</v>
      </c>
      <c r="C67" s="120" t="s">
        <v>116</v>
      </c>
      <c r="D67" s="120" t="s">
        <v>121</v>
      </c>
      <c r="E67" s="120" t="s">
        <v>1609</v>
      </c>
      <c r="F67" s="121">
        <v>2016</v>
      </c>
      <c r="G67" s="120" t="s">
        <v>1593</v>
      </c>
      <c r="H67" s="120" t="s">
        <v>1610</v>
      </c>
      <c r="I67" s="120"/>
      <c r="J67" s="130">
        <v>1540.8375113921757</v>
      </c>
      <c r="K67" s="131" t="s">
        <v>71</v>
      </c>
    </row>
    <row r="68" spans="1:11">
      <c r="A68" s="120" t="s">
        <v>454</v>
      </c>
      <c r="B68" s="120" t="s">
        <v>455</v>
      </c>
      <c r="C68" s="120" t="s">
        <v>116</v>
      </c>
      <c r="D68" s="120" t="s">
        <v>325</v>
      </c>
      <c r="E68" s="120" t="s">
        <v>1609</v>
      </c>
      <c r="F68" s="121">
        <v>2016</v>
      </c>
      <c r="G68" s="120" t="s">
        <v>1593</v>
      </c>
      <c r="H68" s="120" t="s">
        <v>1610</v>
      </c>
      <c r="I68" s="120"/>
      <c r="J68" s="130">
        <v>1612.3111964795012</v>
      </c>
      <c r="K68" s="131" t="s">
        <v>71</v>
      </c>
    </row>
    <row r="69" spans="1:11">
      <c r="A69" s="120" t="s">
        <v>452</v>
      </c>
      <c r="B69" s="120" t="s">
        <v>453</v>
      </c>
      <c r="C69" s="120" t="s">
        <v>116</v>
      </c>
      <c r="D69" s="120" t="s">
        <v>325</v>
      </c>
      <c r="E69" s="120" t="s">
        <v>1609</v>
      </c>
      <c r="F69" s="121">
        <v>2016</v>
      </c>
      <c r="G69" s="120" t="s">
        <v>1593</v>
      </c>
      <c r="H69" s="120" t="s">
        <v>1610</v>
      </c>
      <c r="I69" s="120"/>
      <c r="J69" s="130">
        <v>1493.7821202579078</v>
      </c>
      <c r="K69" s="131" t="s">
        <v>71</v>
      </c>
    </row>
    <row r="70" spans="1:11">
      <c r="A70" s="120" t="s">
        <v>462</v>
      </c>
      <c r="B70" s="120" t="s">
        <v>463</v>
      </c>
      <c r="C70" s="120" t="s">
        <v>118</v>
      </c>
      <c r="D70" s="120" t="s">
        <v>325</v>
      </c>
      <c r="E70" s="120" t="s">
        <v>1609</v>
      </c>
      <c r="F70" s="121">
        <v>2016</v>
      </c>
      <c r="G70" s="120" t="s">
        <v>1593</v>
      </c>
      <c r="H70" s="120" t="s">
        <v>1610</v>
      </c>
      <c r="I70" s="120"/>
      <c r="J70" s="130">
        <v>609.56834310739009</v>
      </c>
      <c r="K70" s="131" t="s">
        <v>71</v>
      </c>
    </row>
    <row r="71" spans="1:11">
      <c r="A71" s="120" t="s">
        <v>468</v>
      </c>
      <c r="B71" s="120" t="s">
        <v>469</v>
      </c>
      <c r="C71" s="120" t="s">
        <v>117</v>
      </c>
      <c r="D71" s="120" t="s">
        <v>322</v>
      </c>
      <c r="E71" s="120" t="s">
        <v>1609</v>
      </c>
      <c r="F71" s="121">
        <v>2016</v>
      </c>
      <c r="G71" s="120" t="s">
        <v>1593</v>
      </c>
      <c r="H71" s="120" t="s">
        <v>1610</v>
      </c>
      <c r="I71" s="120"/>
      <c r="J71" s="130">
        <v>119.8939139941136</v>
      </c>
      <c r="K71" s="131" t="s">
        <v>71</v>
      </c>
    </row>
    <row r="72" spans="1:11">
      <c r="A72" s="120" t="s">
        <v>472</v>
      </c>
      <c r="B72" s="120" t="s">
        <v>473</v>
      </c>
      <c r="C72" s="120" t="s">
        <v>117</v>
      </c>
      <c r="D72" s="120" t="s">
        <v>121</v>
      </c>
      <c r="E72" s="120" t="s">
        <v>1609</v>
      </c>
      <c r="F72" s="121">
        <v>2016</v>
      </c>
      <c r="G72" s="120" t="s">
        <v>1593</v>
      </c>
      <c r="H72" s="120" t="s">
        <v>1610</v>
      </c>
      <c r="I72" s="120"/>
      <c r="J72" s="130">
        <v>482.57367383536342</v>
      </c>
      <c r="K72" s="131" t="s">
        <v>71</v>
      </c>
    </row>
    <row r="73" spans="1:11">
      <c r="A73" s="120" t="s">
        <v>474</v>
      </c>
      <c r="B73" s="120" t="s">
        <v>475</v>
      </c>
      <c r="C73" s="120" t="s">
        <v>115</v>
      </c>
      <c r="D73" s="120" t="s">
        <v>121</v>
      </c>
      <c r="E73" s="120" t="s">
        <v>1609</v>
      </c>
      <c r="F73" s="121">
        <v>2016</v>
      </c>
      <c r="G73" s="120" t="s">
        <v>1593</v>
      </c>
      <c r="H73" s="120" t="s">
        <v>1610</v>
      </c>
      <c r="I73" s="120"/>
      <c r="J73" s="130">
        <v>1201.6614080395989</v>
      </c>
      <c r="K73" s="131" t="s">
        <v>71</v>
      </c>
    </row>
    <row r="74" spans="1:11">
      <c r="A74" s="120" t="s">
        <v>476</v>
      </c>
      <c r="B74" s="120" t="s">
        <v>477</v>
      </c>
      <c r="C74" s="120" t="s">
        <v>116</v>
      </c>
      <c r="D74" s="120" t="s">
        <v>322</v>
      </c>
      <c r="E74" s="120" t="s">
        <v>1609</v>
      </c>
      <c r="F74" s="121">
        <v>2016</v>
      </c>
      <c r="G74" s="120" t="s">
        <v>1593</v>
      </c>
      <c r="H74" s="120" t="s">
        <v>1610</v>
      </c>
      <c r="I74" s="120"/>
      <c r="J74" s="130">
        <v>1519.4807062067894</v>
      </c>
      <c r="K74" s="131" t="s">
        <v>71</v>
      </c>
    </row>
    <row r="75" spans="1:11">
      <c r="A75" s="120" t="s">
        <v>480</v>
      </c>
      <c r="B75" s="120" t="s">
        <v>481</v>
      </c>
      <c r="C75" s="120" t="s">
        <v>117</v>
      </c>
      <c r="D75" s="120" t="s">
        <v>325</v>
      </c>
      <c r="E75" s="120" t="s">
        <v>1609</v>
      </c>
      <c r="F75" s="121">
        <v>2016</v>
      </c>
      <c r="G75" s="120" t="s">
        <v>1593</v>
      </c>
      <c r="H75" s="120" t="s">
        <v>1610</v>
      </c>
      <c r="I75" s="120"/>
      <c r="J75" s="130">
        <v>240.31105739195144</v>
      </c>
      <c r="K75" s="131" t="s">
        <v>71</v>
      </c>
    </row>
    <row r="76" spans="1:11">
      <c r="A76" s="120" t="s">
        <v>478</v>
      </c>
      <c r="B76" s="120" t="s">
        <v>479</v>
      </c>
      <c r="C76" s="120" t="s">
        <v>114</v>
      </c>
      <c r="D76" s="120" t="s">
        <v>121</v>
      </c>
      <c r="E76" s="120" t="s">
        <v>1609</v>
      </c>
      <c r="F76" s="121">
        <v>2016</v>
      </c>
      <c r="G76" s="120" t="s">
        <v>1593</v>
      </c>
      <c r="H76" s="120" t="s">
        <v>1610</v>
      </c>
      <c r="I76" s="120"/>
      <c r="J76" s="130">
        <v>1588.1845529073807</v>
      </c>
      <c r="K76" s="131" t="s">
        <v>71</v>
      </c>
    </row>
    <row r="77" spans="1:11">
      <c r="A77" s="120" t="s">
        <v>482</v>
      </c>
      <c r="B77" s="120" t="s">
        <v>483</v>
      </c>
      <c r="C77" s="120" t="s">
        <v>115</v>
      </c>
      <c r="D77" s="120" t="s">
        <v>322</v>
      </c>
      <c r="E77" s="120" t="s">
        <v>1609</v>
      </c>
      <c r="F77" s="121">
        <v>2016</v>
      </c>
      <c r="G77" s="120" t="s">
        <v>1593</v>
      </c>
      <c r="H77" s="120" t="s">
        <v>1610</v>
      </c>
      <c r="I77" s="120"/>
      <c r="J77" s="130">
        <v>234.36055151825974</v>
      </c>
      <c r="K77" s="131" t="s">
        <v>71</v>
      </c>
    </row>
    <row r="78" spans="1:11">
      <c r="A78" s="120" t="s">
        <v>484</v>
      </c>
      <c r="B78" s="120" t="s">
        <v>485</v>
      </c>
      <c r="C78" s="120" t="s">
        <v>119</v>
      </c>
      <c r="D78" s="120" t="s">
        <v>325</v>
      </c>
      <c r="E78" s="120" t="s">
        <v>1609</v>
      </c>
      <c r="F78" s="121">
        <v>2016</v>
      </c>
      <c r="G78" s="120" t="s">
        <v>1593</v>
      </c>
      <c r="H78" s="120" t="s">
        <v>1610</v>
      </c>
      <c r="I78" s="120"/>
      <c r="J78" s="130">
        <v>309.89789540430729</v>
      </c>
      <c r="K78" s="131" t="s">
        <v>71</v>
      </c>
    </row>
    <row r="79" spans="1:11">
      <c r="A79" s="120" t="s">
        <v>374</v>
      </c>
      <c r="B79" s="120" t="s">
        <v>375</v>
      </c>
      <c r="C79" s="120" t="s">
        <v>114</v>
      </c>
      <c r="D79" s="120" t="s">
        <v>325</v>
      </c>
      <c r="E79" s="120" t="s">
        <v>1609</v>
      </c>
      <c r="F79" s="121">
        <v>2016</v>
      </c>
      <c r="G79" s="120" t="s">
        <v>1593</v>
      </c>
      <c r="H79" s="120" t="s">
        <v>1610</v>
      </c>
      <c r="I79" s="120"/>
      <c r="J79" s="130">
        <v>1039.6580272790554</v>
      </c>
      <c r="K79" s="131" t="s">
        <v>71</v>
      </c>
    </row>
    <row r="80" spans="1:11">
      <c r="A80" s="120" t="s">
        <v>700</v>
      </c>
      <c r="B80" s="120" t="s">
        <v>701</v>
      </c>
      <c r="C80" s="120" t="s">
        <v>117</v>
      </c>
      <c r="D80" s="120" t="s">
        <v>121</v>
      </c>
      <c r="E80" s="120" t="s">
        <v>1609</v>
      </c>
      <c r="F80" s="121">
        <v>2016</v>
      </c>
      <c r="G80" s="120" t="s">
        <v>1593</v>
      </c>
      <c r="H80" s="120" t="s">
        <v>1610</v>
      </c>
      <c r="I80" s="120"/>
      <c r="J80" s="130">
        <v>-359.8964672888485</v>
      </c>
      <c r="K80" s="131" t="s">
        <v>71</v>
      </c>
    </row>
    <row r="81" spans="1:11">
      <c r="A81" s="120" t="s">
        <v>496</v>
      </c>
      <c r="B81" s="120" t="s">
        <v>497</v>
      </c>
      <c r="C81" s="120" t="s">
        <v>117</v>
      </c>
      <c r="D81" s="120" t="s">
        <v>325</v>
      </c>
      <c r="E81" s="120" t="s">
        <v>1609</v>
      </c>
      <c r="F81" s="121">
        <v>2016</v>
      </c>
      <c r="G81" s="120" t="s">
        <v>1593</v>
      </c>
      <c r="H81" s="120" t="s">
        <v>1610</v>
      </c>
      <c r="I81" s="120"/>
      <c r="J81" s="130">
        <v>880.38970608764009</v>
      </c>
      <c r="K81" s="131" t="s">
        <v>71</v>
      </c>
    </row>
    <row r="82" spans="1:11">
      <c r="A82" s="120" t="s">
        <v>500</v>
      </c>
      <c r="B82" s="120" t="s">
        <v>501</v>
      </c>
      <c r="C82" s="120" t="s">
        <v>119</v>
      </c>
      <c r="D82" s="120" t="s">
        <v>319</v>
      </c>
      <c r="E82" s="120" t="s">
        <v>1609</v>
      </c>
      <c r="F82" s="121">
        <v>2016</v>
      </c>
      <c r="G82" s="120" t="s">
        <v>1593</v>
      </c>
      <c r="H82" s="120" t="s">
        <v>1610</v>
      </c>
      <c r="I82" s="120"/>
      <c r="J82" s="130">
        <v>1518.5955025284106</v>
      </c>
      <c r="K82" s="131" t="s">
        <v>71</v>
      </c>
    </row>
    <row r="83" spans="1:11">
      <c r="A83" s="120" t="s">
        <v>702</v>
      </c>
      <c r="B83" s="120" t="s">
        <v>703</v>
      </c>
      <c r="C83" s="120" t="s">
        <v>117</v>
      </c>
      <c r="D83" s="120" t="s">
        <v>322</v>
      </c>
      <c r="E83" s="120" t="s">
        <v>1609</v>
      </c>
      <c r="F83" s="121">
        <v>2016</v>
      </c>
      <c r="G83" s="120" t="s">
        <v>1593</v>
      </c>
      <c r="H83" s="120" t="s">
        <v>1610</v>
      </c>
      <c r="I83" s="120"/>
      <c r="J83" s="130">
        <v>544.43055502125071</v>
      </c>
      <c r="K83" s="131" t="s">
        <v>71</v>
      </c>
    </row>
    <row r="84" spans="1:11">
      <c r="A84" s="120" t="s">
        <v>614</v>
      </c>
      <c r="B84" s="120" t="s">
        <v>615</v>
      </c>
      <c r="C84" s="120" t="s">
        <v>118</v>
      </c>
      <c r="D84" s="120" t="s">
        <v>325</v>
      </c>
      <c r="E84" s="120" t="s">
        <v>1609</v>
      </c>
      <c r="F84" s="121">
        <v>2016</v>
      </c>
      <c r="G84" s="120" t="s">
        <v>1593</v>
      </c>
      <c r="H84" s="120" t="s">
        <v>1610</v>
      </c>
      <c r="I84" s="120"/>
      <c r="J84" s="130">
        <v>1212.2497337417533</v>
      </c>
      <c r="K84" s="131" t="s">
        <v>71</v>
      </c>
    </row>
    <row r="85" spans="1:11">
      <c r="A85" s="120" t="s">
        <v>498</v>
      </c>
      <c r="B85" s="120" t="s">
        <v>499</v>
      </c>
      <c r="C85" s="120" t="s">
        <v>119</v>
      </c>
      <c r="D85" s="120" t="s">
        <v>325</v>
      </c>
      <c r="E85" s="120" t="s">
        <v>1609</v>
      </c>
      <c r="F85" s="121">
        <v>2016</v>
      </c>
      <c r="G85" s="120" t="s">
        <v>1593</v>
      </c>
      <c r="H85" s="120" t="s">
        <v>1610</v>
      </c>
      <c r="I85" s="120"/>
      <c r="J85" s="130">
        <v>620.88614213631047</v>
      </c>
      <c r="K85" s="131" t="s">
        <v>71</v>
      </c>
    </row>
    <row r="86" spans="1:11">
      <c r="A86" s="120" t="s">
        <v>504</v>
      </c>
      <c r="B86" s="120" t="s">
        <v>505</v>
      </c>
      <c r="C86" s="120" t="s">
        <v>115</v>
      </c>
      <c r="D86" s="120" t="s">
        <v>121</v>
      </c>
      <c r="E86" s="120" t="s">
        <v>1609</v>
      </c>
      <c r="F86" s="121">
        <v>2016</v>
      </c>
      <c r="G86" s="120" t="s">
        <v>1593</v>
      </c>
      <c r="H86" s="120" t="s">
        <v>1610</v>
      </c>
      <c r="I86" s="120"/>
      <c r="J86" s="130">
        <v>2022.6335074753499</v>
      </c>
      <c r="K86" s="131" t="s">
        <v>71</v>
      </c>
    </row>
    <row r="87" spans="1:11">
      <c r="A87" s="120" t="s">
        <v>536</v>
      </c>
      <c r="B87" s="120" t="s">
        <v>537</v>
      </c>
      <c r="C87" s="120" t="s">
        <v>117</v>
      </c>
      <c r="D87" s="120" t="s">
        <v>325</v>
      </c>
      <c r="E87" s="120" t="s">
        <v>1609</v>
      </c>
      <c r="F87" s="121">
        <v>2016</v>
      </c>
      <c r="G87" s="120" t="s">
        <v>1593</v>
      </c>
      <c r="H87" s="120" t="s">
        <v>1610</v>
      </c>
      <c r="I87" s="120"/>
      <c r="J87" s="130">
        <v>929.9149253232664</v>
      </c>
      <c r="K87" s="131" t="s">
        <v>71</v>
      </c>
    </row>
    <row r="88" spans="1:11">
      <c r="A88" s="120" t="s">
        <v>530</v>
      </c>
      <c r="B88" s="120" t="s">
        <v>531</v>
      </c>
      <c r="C88" s="120" t="s">
        <v>115</v>
      </c>
      <c r="D88" s="120" t="s">
        <v>322</v>
      </c>
      <c r="E88" s="120" t="s">
        <v>1609</v>
      </c>
      <c r="F88" s="121">
        <v>2016</v>
      </c>
      <c r="G88" s="120" t="s">
        <v>1593</v>
      </c>
      <c r="H88" s="120" t="s">
        <v>1610</v>
      </c>
      <c r="I88" s="120"/>
      <c r="J88" s="130">
        <v>1047.3325278302841</v>
      </c>
      <c r="K88" s="131" t="s">
        <v>71</v>
      </c>
    </row>
    <row r="89" spans="1:11">
      <c r="A89" s="120" t="s">
        <v>510</v>
      </c>
      <c r="B89" s="120" t="s">
        <v>511</v>
      </c>
      <c r="C89" s="120" t="s">
        <v>119</v>
      </c>
      <c r="D89" s="120" t="s">
        <v>319</v>
      </c>
      <c r="E89" s="120" t="s">
        <v>1609</v>
      </c>
      <c r="F89" s="121">
        <v>2016</v>
      </c>
      <c r="G89" s="120" t="s">
        <v>1593</v>
      </c>
      <c r="H89" s="120" t="s">
        <v>1610</v>
      </c>
      <c r="I89" s="120"/>
      <c r="J89" s="130">
        <v>686.79067998533367</v>
      </c>
      <c r="K89" s="131" t="s">
        <v>71</v>
      </c>
    </row>
    <row r="90" spans="1:11">
      <c r="A90" s="120" t="s">
        <v>526</v>
      </c>
      <c r="B90" s="120" t="s">
        <v>527</v>
      </c>
      <c r="C90" s="120" t="s">
        <v>116</v>
      </c>
      <c r="D90" s="120" t="s">
        <v>322</v>
      </c>
      <c r="E90" s="120" t="s">
        <v>1609</v>
      </c>
      <c r="F90" s="121">
        <v>2016</v>
      </c>
      <c r="G90" s="120" t="s">
        <v>1593</v>
      </c>
      <c r="H90" s="120" t="s">
        <v>1610</v>
      </c>
      <c r="I90" s="120"/>
      <c r="J90" s="130">
        <v>1438.319908184292</v>
      </c>
      <c r="K90" s="131" t="s">
        <v>71</v>
      </c>
    </row>
    <row r="91" spans="1:11">
      <c r="A91" s="120" t="s">
        <v>518</v>
      </c>
      <c r="B91" s="120" t="s">
        <v>519</v>
      </c>
      <c r="C91" s="120" t="s">
        <v>119</v>
      </c>
      <c r="D91" s="120" t="s">
        <v>319</v>
      </c>
      <c r="E91" s="120" t="s">
        <v>1609</v>
      </c>
      <c r="F91" s="121">
        <v>2016</v>
      </c>
      <c r="G91" s="120" t="s">
        <v>1593</v>
      </c>
      <c r="H91" s="120" t="s">
        <v>1610</v>
      </c>
      <c r="I91" s="120"/>
      <c r="J91" s="130">
        <v>508.93471041007695</v>
      </c>
      <c r="K91" s="131" t="s">
        <v>71</v>
      </c>
    </row>
    <row r="92" spans="1:11">
      <c r="A92" s="120" t="s">
        <v>540</v>
      </c>
      <c r="B92" s="120" t="s">
        <v>541</v>
      </c>
      <c r="C92" s="120" t="s">
        <v>114</v>
      </c>
      <c r="D92" s="120" t="s">
        <v>325</v>
      </c>
      <c r="E92" s="120" t="s">
        <v>1609</v>
      </c>
      <c r="F92" s="121">
        <v>2016</v>
      </c>
      <c r="G92" s="120" t="s">
        <v>1593</v>
      </c>
      <c r="H92" s="120" t="s">
        <v>1610</v>
      </c>
      <c r="I92" s="120"/>
      <c r="J92" s="130">
        <v>1267.5025029147982</v>
      </c>
      <c r="K92" s="131" t="s">
        <v>71</v>
      </c>
    </row>
    <row r="93" spans="1:11">
      <c r="A93" s="120" t="s">
        <v>534</v>
      </c>
      <c r="B93" s="120" t="s">
        <v>535</v>
      </c>
      <c r="C93" s="120" t="s">
        <v>115</v>
      </c>
      <c r="D93" s="120" t="s">
        <v>322</v>
      </c>
      <c r="E93" s="120" t="s">
        <v>1609</v>
      </c>
      <c r="F93" s="121">
        <v>2016</v>
      </c>
      <c r="G93" s="120" t="s">
        <v>1593</v>
      </c>
      <c r="H93" s="120" t="s">
        <v>1610</v>
      </c>
      <c r="I93" s="120"/>
      <c r="J93" s="130">
        <v>2785.249138345358</v>
      </c>
      <c r="K93" s="131" t="s">
        <v>71</v>
      </c>
    </row>
    <row r="94" spans="1:11">
      <c r="A94" s="120" t="s">
        <v>532</v>
      </c>
      <c r="B94" s="120" t="s">
        <v>533</v>
      </c>
      <c r="C94" s="120" t="s">
        <v>114</v>
      </c>
      <c r="D94" s="120" t="s">
        <v>325</v>
      </c>
      <c r="E94" s="120" t="s">
        <v>1609</v>
      </c>
      <c r="F94" s="121">
        <v>2016</v>
      </c>
      <c r="G94" s="120" t="s">
        <v>1593</v>
      </c>
      <c r="H94" s="120" t="s">
        <v>1610</v>
      </c>
      <c r="I94" s="120"/>
      <c r="J94" s="130">
        <v>531.11751305480266</v>
      </c>
      <c r="K94" s="131" t="s">
        <v>71</v>
      </c>
    </row>
    <row r="95" spans="1:11">
      <c r="A95" s="120" t="s">
        <v>538</v>
      </c>
      <c r="B95" s="120" t="s">
        <v>539</v>
      </c>
      <c r="C95" s="120" t="s">
        <v>119</v>
      </c>
      <c r="D95" s="120" t="s">
        <v>319</v>
      </c>
      <c r="E95" s="120" t="s">
        <v>1609</v>
      </c>
      <c r="F95" s="121">
        <v>2016</v>
      </c>
      <c r="G95" s="120" t="s">
        <v>1593</v>
      </c>
      <c r="H95" s="120" t="s">
        <v>1610</v>
      </c>
      <c r="I95" s="120"/>
      <c r="J95" s="130">
        <v>1099.5565112778711</v>
      </c>
      <c r="K95" s="131" t="s">
        <v>71</v>
      </c>
    </row>
    <row r="96" spans="1:11">
      <c r="A96" s="120" t="s">
        <v>522</v>
      </c>
      <c r="B96" s="120" t="s">
        <v>523</v>
      </c>
      <c r="C96" s="120" t="s">
        <v>119</v>
      </c>
      <c r="D96" s="120" t="s">
        <v>325</v>
      </c>
      <c r="E96" s="120" t="s">
        <v>1609</v>
      </c>
      <c r="F96" s="121">
        <v>2016</v>
      </c>
      <c r="G96" s="120" t="s">
        <v>1593</v>
      </c>
      <c r="H96" s="120" t="s">
        <v>1610</v>
      </c>
      <c r="I96" s="120"/>
      <c r="J96" s="130">
        <v>2077.6279414764299</v>
      </c>
      <c r="K96" s="131" t="s">
        <v>71</v>
      </c>
    </row>
    <row r="97" spans="1:11">
      <c r="A97" s="120" t="s">
        <v>512</v>
      </c>
      <c r="B97" s="120" t="s">
        <v>513</v>
      </c>
      <c r="C97" s="120" t="s">
        <v>119</v>
      </c>
      <c r="D97" s="120" t="s">
        <v>319</v>
      </c>
      <c r="E97" s="120" t="s">
        <v>1609</v>
      </c>
      <c r="F97" s="121">
        <v>2016</v>
      </c>
      <c r="G97" s="120" t="s">
        <v>1593</v>
      </c>
      <c r="H97" s="120" t="s">
        <v>1610</v>
      </c>
      <c r="I97" s="120"/>
      <c r="J97" s="130">
        <v>933.50736638233036</v>
      </c>
      <c r="K97" s="131" t="s">
        <v>71</v>
      </c>
    </row>
    <row r="98" spans="1:11">
      <c r="A98" s="120" t="s">
        <v>514</v>
      </c>
      <c r="B98" s="120" t="s">
        <v>515</v>
      </c>
      <c r="C98" s="120" t="s">
        <v>114</v>
      </c>
      <c r="D98" s="120" t="s">
        <v>322</v>
      </c>
      <c r="E98" s="120" t="s">
        <v>1609</v>
      </c>
      <c r="F98" s="121">
        <v>2016</v>
      </c>
      <c r="G98" s="120" t="s">
        <v>1593</v>
      </c>
      <c r="H98" s="120" t="s">
        <v>1610</v>
      </c>
      <c r="I98" s="120"/>
      <c r="J98" s="130">
        <v>1657.6575828038515</v>
      </c>
      <c r="K98" s="131" t="s">
        <v>71</v>
      </c>
    </row>
    <row r="99" spans="1:11">
      <c r="A99" s="120" t="s">
        <v>542</v>
      </c>
      <c r="B99" s="120" t="s">
        <v>543</v>
      </c>
      <c r="C99" s="120" t="s">
        <v>119</v>
      </c>
      <c r="D99" s="120" t="s">
        <v>322</v>
      </c>
      <c r="E99" s="120" t="s">
        <v>1609</v>
      </c>
      <c r="F99" s="121">
        <v>2016</v>
      </c>
      <c r="G99" s="120" t="s">
        <v>1593</v>
      </c>
      <c r="H99" s="120" t="s">
        <v>1610</v>
      </c>
      <c r="I99" s="120"/>
      <c r="J99" s="130">
        <v>1870.8455423056162</v>
      </c>
      <c r="K99" s="131" t="s">
        <v>71</v>
      </c>
    </row>
    <row r="100" spans="1:11">
      <c r="A100" s="120" t="s">
        <v>552</v>
      </c>
      <c r="B100" s="120" t="s">
        <v>553</v>
      </c>
      <c r="C100" s="120" t="s">
        <v>119</v>
      </c>
      <c r="D100" s="120" t="s">
        <v>319</v>
      </c>
      <c r="E100" s="120" t="s">
        <v>1609</v>
      </c>
      <c r="F100" s="121">
        <v>2016</v>
      </c>
      <c r="G100" s="120" t="s">
        <v>1593</v>
      </c>
      <c r="H100" s="120" t="s">
        <v>1610</v>
      </c>
      <c r="I100" s="120"/>
      <c r="J100" s="130">
        <v>1651.6491681162054</v>
      </c>
      <c r="K100" s="131" t="s">
        <v>71</v>
      </c>
    </row>
    <row r="101" spans="1:11">
      <c r="A101" s="120" t="s">
        <v>554</v>
      </c>
      <c r="B101" s="120" t="s">
        <v>555</v>
      </c>
      <c r="C101" s="120" t="s">
        <v>119</v>
      </c>
      <c r="D101" s="120" t="s">
        <v>325</v>
      </c>
      <c r="E101" s="120" t="s">
        <v>1609</v>
      </c>
      <c r="F101" s="121">
        <v>2016</v>
      </c>
      <c r="G101" s="120" t="s">
        <v>1593</v>
      </c>
      <c r="H101" s="120" t="s">
        <v>1610</v>
      </c>
      <c r="I101" s="120"/>
      <c r="J101" s="130">
        <v>1058.7587126612164</v>
      </c>
      <c r="K101" s="131" t="s">
        <v>71</v>
      </c>
    </row>
    <row r="102" spans="1:11">
      <c r="A102" s="120" t="s">
        <v>550</v>
      </c>
      <c r="B102" s="120" t="s">
        <v>551</v>
      </c>
      <c r="C102" s="120" t="s">
        <v>116</v>
      </c>
      <c r="D102" s="120" t="s">
        <v>325</v>
      </c>
      <c r="E102" s="120" t="s">
        <v>1609</v>
      </c>
      <c r="F102" s="121">
        <v>2016</v>
      </c>
      <c r="G102" s="120" t="s">
        <v>1593</v>
      </c>
      <c r="H102" s="120" t="s">
        <v>1610</v>
      </c>
      <c r="I102" s="120"/>
      <c r="J102" s="130">
        <v>1363.5653938466496</v>
      </c>
      <c r="K102" s="131" t="s">
        <v>71</v>
      </c>
    </row>
    <row r="103" spans="1:11">
      <c r="A103" s="120" t="s">
        <v>546</v>
      </c>
      <c r="B103" s="120" t="s">
        <v>547</v>
      </c>
      <c r="C103" s="120" t="s">
        <v>115</v>
      </c>
      <c r="D103" s="120" t="s">
        <v>121</v>
      </c>
      <c r="E103" s="120" t="s">
        <v>1609</v>
      </c>
      <c r="F103" s="121">
        <v>2016</v>
      </c>
      <c r="G103" s="120" t="s">
        <v>1593</v>
      </c>
      <c r="H103" s="120" t="s">
        <v>1610</v>
      </c>
      <c r="I103" s="120"/>
      <c r="J103" s="130">
        <v>1381.1931603268933</v>
      </c>
      <c r="K103" s="131" t="s">
        <v>71</v>
      </c>
    </row>
    <row r="104" spans="1:11">
      <c r="A104" s="120" t="s">
        <v>544</v>
      </c>
      <c r="B104" s="120" t="s">
        <v>545</v>
      </c>
      <c r="C104" s="120" t="s">
        <v>118</v>
      </c>
      <c r="D104" s="120" t="s">
        <v>325</v>
      </c>
      <c r="E104" s="120" t="s">
        <v>1609</v>
      </c>
      <c r="F104" s="121">
        <v>2016</v>
      </c>
      <c r="G104" s="120" t="s">
        <v>1593</v>
      </c>
      <c r="H104" s="120" t="s">
        <v>1610</v>
      </c>
      <c r="I104" s="120"/>
      <c r="J104" s="130">
        <v>1195.6027571314924</v>
      </c>
      <c r="K104" s="131" t="s">
        <v>71</v>
      </c>
    </row>
    <row r="105" spans="1:11">
      <c r="A105" s="120" t="s">
        <v>548</v>
      </c>
      <c r="B105" s="120" t="s">
        <v>549</v>
      </c>
      <c r="C105" s="120" t="s">
        <v>114</v>
      </c>
      <c r="D105" s="120" t="s">
        <v>121</v>
      </c>
      <c r="E105" s="120" t="s">
        <v>1609</v>
      </c>
      <c r="F105" s="121">
        <v>2016</v>
      </c>
      <c r="G105" s="120" t="s">
        <v>1593</v>
      </c>
      <c r="H105" s="120" t="s">
        <v>1610</v>
      </c>
      <c r="I105" s="120"/>
      <c r="J105" s="130">
        <v>4339.5977091675422</v>
      </c>
      <c r="K105" s="131" t="s">
        <v>71</v>
      </c>
    </row>
    <row r="106" spans="1:11">
      <c r="A106" s="120" t="s">
        <v>710</v>
      </c>
      <c r="B106" s="120" t="s">
        <v>711</v>
      </c>
      <c r="C106" s="120" t="s">
        <v>117</v>
      </c>
      <c r="D106" s="120" t="s">
        <v>121</v>
      </c>
      <c r="E106" s="120" t="s">
        <v>1609</v>
      </c>
      <c r="F106" s="121">
        <v>2016</v>
      </c>
      <c r="G106" s="120" t="s">
        <v>1593</v>
      </c>
      <c r="H106" s="120" t="s">
        <v>1610</v>
      </c>
      <c r="I106" s="120"/>
      <c r="J106" s="130">
        <v>237.01297810023496</v>
      </c>
      <c r="K106" s="131" t="s">
        <v>71</v>
      </c>
    </row>
    <row r="107" spans="1:11">
      <c r="A107" s="120" t="s">
        <v>558</v>
      </c>
      <c r="B107" s="120" t="s">
        <v>559</v>
      </c>
      <c r="C107" s="120" t="s">
        <v>118</v>
      </c>
      <c r="D107" s="120" t="s">
        <v>325</v>
      </c>
      <c r="E107" s="120" t="s">
        <v>1609</v>
      </c>
      <c r="F107" s="121">
        <v>2016</v>
      </c>
      <c r="G107" s="120" t="s">
        <v>1593</v>
      </c>
      <c r="H107" s="120" t="s">
        <v>1610</v>
      </c>
      <c r="I107" s="120"/>
      <c r="J107" s="130">
        <v>498.57301559632651</v>
      </c>
      <c r="K107" s="131" t="s">
        <v>71</v>
      </c>
    </row>
    <row r="108" spans="1:11">
      <c r="A108" s="120" t="s">
        <v>562</v>
      </c>
      <c r="B108" s="120" t="s">
        <v>563</v>
      </c>
      <c r="C108" s="120" t="s">
        <v>116</v>
      </c>
      <c r="D108" s="120" t="s">
        <v>121</v>
      </c>
      <c r="E108" s="120" t="s">
        <v>1609</v>
      </c>
      <c r="F108" s="121">
        <v>2016</v>
      </c>
      <c r="G108" s="120" t="s">
        <v>1593</v>
      </c>
      <c r="H108" s="120" t="s">
        <v>1610</v>
      </c>
      <c r="I108" s="120"/>
      <c r="J108" s="130">
        <v>1765.425598423559</v>
      </c>
      <c r="K108" s="131" t="s">
        <v>71</v>
      </c>
    </row>
    <row r="109" spans="1:11">
      <c r="A109" s="120" t="s">
        <v>568</v>
      </c>
      <c r="B109" s="120" t="s">
        <v>569</v>
      </c>
      <c r="C109" s="120" t="s">
        <v>116</v>
      </c>
      <c r="D109" s="120" t="s">
        <v>322</v>
      </c>
      <c r="E109" s="120" t="s">
        <v>1609</v>
      </c>
      <c r="F109" s="121">
        <v>2016</v>
      </c>
      <c r="G109" s="120" t="s">
        <v>1593</v>
      </c>
      <c r="H109" s="120" t="s">
        <v>1610</v>
      </c>
      <c r="I109" s="120"/>
      <c r="J109" s="130">
        <v>1615.6258537643914</v>
      </c>
      <c r="K109" s="131" t="s">
        <v>71</v>
      </c>
    </row>
    <row r="110" spans="1:11">
      <c r="A110" s="120" t="s">
        <v>570</v>
      </c>
      <c r="B110" s="120" t="s">
        <v>571</v>
      </c>
      <c r="C110" s="120" t="s">
        <v>114</v>
      </c>
      <c r="D110" s="120" t="s">
        <v>325</v>
      </c>
      <c r="E110" s="120" t="s">
        <v>1609</v>
      </c>
      <c r="F110" s="121">
        <v>2016</v>
      </c>
      <c r="G110" s="120" t="s">
        <v>1593</v>
      </c>
      <c r="H110" s="120" t="s">
        <v>1610</v>
      </c>
      <c r="I110" s="120"/>
      <c r="J110" s="130">
        <v>1664.3382895292532</v>
      </c>
      <c r="K110" s="131" t="s">
        <v>71</v>
      </c>
    </row>
    <row r="111" spans="1:11">
      <c r="A111" s="120" t="s">
        <v>572</v>
      </c>
      <c r="B111" s="120" t="s">
        <v>573</v>
      </c>
      <c r="C111" s="120" t="s">
        <v>115</v>
      </c>
      <c r="D111" s="120" t="s">
        <v>121</v>
      </c>
      <c r="E111" s="120" t="s">
        <v>1609</v>
      </c>
      <c r="F111" s="121">
        <v>2016</v>
      </c>
      <c r="G111" s="120" t="s">
        <v>1593</v>
      </c>
      <c r="H111" s="120" t="s">
        <v>1610</v>
      </c>
      <c r="I111" s="120"/>
      <c r="J111" s="130">
        <v>1643.4535213096281</v>
      </c>
      <c r="K111" s="131" t="s">
        <v>71</v>
      </c>
    </row>
    <row r="112" spans="1:11">
      <c r="A112" s="120" t="s">
        <v>574</v>
      </c>
      <c r="B112" s="120" t="s">
        <v>575</v>
      </c>
      <c r="C112" s="120" t="s">
        <v>115</v>
      </c>
      <c r="D112" s="120" t="s">
        <v>121</v>
      </c>
      <c r="E112" s="120" t="s">
        <v>1609</v>
      </c>
      <c r="F112" s="121">
        <v>2016</v>
      </c>
      <c r="G112" s="120" t="s">
        <v>1593</v>
      </c>
      <c r="H112" s="120" t="s">
        <v>1610</v>
      </c>
      <c r="I112" s="120"/>
      <c r="J112" s="130">
        <v>2050.158254152946</v>
      </c>
      <c r="K112" s="131" t="s">
        <v>71</v>
      </c>
    </row>
    <row r="113" spans="1:11">
      <c r="A113" s="120" t="s">
        <v>566</v>
      </c>
      <c r="B113" s="120" t="s">
        <v>567</v>
      </c>
      <c r="C113" s="120" t="s">
        <v>116</v>
      </c>
      <c r="D113" s="120" t="s">
        <v>322</v>
      </c>
      <c r="E113" s="120" t="s">
        <v>1609</v>
      </c>
      <c r="F113" s="121">
        <v>2016</v>
      </c>
      <c r="G113" s="120" t="s">
        <v>1593</v>
      </c>
      <c r="H113" s="120" t="s">
        <v>1610</v>
      </c>
      <c r="I113" s="120"/>
      <c r="J113" s="130">
        <v>1073.0510275085992</v>
      </c>
      <c r="K113" s="131" t="s">
        <v>71</v>
      </c>
    </row>
    <row r="114" spans="1:11">
      <c r="A114" s="120" t="s">
        <v>578</v>
      </c>
      <c r="B114" s="120" t="s">
        <v>579</v>
      </c>
      <c r="C114" s="120" t="s">
        <v>117</v>
      </c>
      <c r="D114" s="120" t="s">
        <v>121</v>
      </c>
      <c r="E114" s="120" t="s">
        <v>1609</v>
      </c>
      <c r="F114" s="121">
        <v>2016</v>
      </c>
      <c r="G114" s="120" t="s">
        <v>1593</v>
      </c>
      <c r="H114" s="120" t="s">
        <v>1610</v>
      </c>
      <c r="I114" s="120"/>
      <c r="J114" s="130">
        <v>123.23020687529669</v>
      </c>
      <c r="K114" s="131" t="s">
        <v>71</v>
      </c>
    </row>
    <row r="115" spans="1:11">
      <c r="A115" s="120" t="s">
        <v>580</v>
      </c>
      <c r="B115" s="120" t="s">
        <v>581</v>
      </c>
      <c r="C115" s="120" t="s">
        <v>115</v>
      </c>
      <c r="D115" s="120" t="s">
        <v>121</v>
      </c>
      <c r="E115" s="120" t="s">
        <v>1609</v>
      </c>
      <c r="F115" s="121">
        <v>2016</v>
      </c>
      <c r="G115" s="120" t="s">
        <v>1593</v>
      </c>
      <c r="H115" s="120" t="s">
        <v>1610</v>
      </c>
      <c r="I115" s="120"/>
      <c r="J115" s="130">
        <v>1078.5798232741145</v>
      </c>
      <c r="K115" s="131" t="s">
        <v>71</v>
      </c>
    </row>
    <row r="116" spans="1:11">
      <c r="A116" s="120" t="s">
        <v>584</v>
      </c>
      <c r="B116" s="120" t="s">
        <v>585</v>
      </c>
      <c r="C116" s="120" t="s">
        <v>119</v>
      </c>
      <c r="D116" s="120" t="s">
        <v>319</v>
      </c>
      <c r="E116" s="120" t="s">
        <v>1609</v>
      </c>
      <c r="F116" s="121">
        <v>2016</v>
      </c>
      <c r="G116" s="120" t="s">
        <v>1593</v>
      </c>
      <c r="H116" s="120" t="s">
        <v>1610</v>
      </c>
      <c r="I116" s="120"/>
      <c r="J116" s="130">
        <v>990.75607025097042</v>
      </c>
      <c r="K116" s="131" t="s">
        <v>71</v>
      </c>
    </row>
    <row r="117" spans="1:11">
      <c r="A117" s="120" t="s">
        <v>590</v>
      </c>
      <c r="B117" s="120" t="s">
        <v>591</v>
      </c>
      <c r="C117" s="120" t="s">
        <v>117</v>
      </c>
      <c r="D117" s="120" t="s">
        <v>121</v>
      </c>
      <c r="E117" s="120" t="s">
        <v>1609</v>
      </c>
      <c r="F117" s="121">
        <v>2016</v>
      </c>
      <c r="G117" s="120" t="s">
        <v>1593</v>
      </c>
      <c r="H117" s="120" t="s">
        <v>1610</v>
      </c>
      <c r="I117" s="120"/>
      <c r="J117" s="130">
        <v>588.10067806030622</v>
      </c>
      <c r="K117" s="131" t="s">
        <v>71</v>
      </c>
    </row>
    <row r="118" spans="1:11">
      <c r="A118" s="120" t="s">
        <v>622</v>
      </c>
      <c r="B118" s="120" t="s">
        <v>623</v>
      </c>
      <c r="C118" s="120" t="s">
        <v>119</v>
      </c>
      <c r="D118" s="120" t="s">
        <v>319</v>
      </c>
      <c r="E118" s="120" t="s">
        <v>1609</v>
      </c>
      <c r="F118" s="121">
        <v>2016</v>
      </c>
      <c r="G118" s="120" t="s">
        <v>1593</v>
      </c>
      <c r="H118" s="120" t="s">
        <v>1610</v>
      </c>
      <c r="I118" s="120"/>
      <c r="J118" s="130">
        <v>1319.8295770188743</v>
      </c>
      <c r="K118" s="131" t="s">
        <v>71</v>
      </c>
    </row>
    <row r="119" spans="1:11">
      <c r="A119" s="120" t="s">
        <v>592</v>
      </c>
      <c r="B119" s="120" t="s">
        <v>593</v>
      </c>
      <c r="C119" s="120" t="s">
        <v>119</v>
      </c>
      <c r="D119" s="120" t="s">
        <v>325</v>
      </c>
      <c r="E119" s="120" t="s">
        <v>1609</v>
      </c>
      <c r="F119" s="121">
        <v>2016</v>
      </c>
      <c r="G119" s="120" t="s">
        <v>1593</v>
      </c>
      <c r="H119" s="120" t="s">
        <v>1610</v>
      </c>
      <c r="I119" s="120"/>
      <c r="J119" s="130">
        <v>679.6556280137064</v>
      </c>
      <c r="K119" s="131" t="s">
        <v>71</v>
      </c>
    </row>
    <row r="120" spans="1:11">
      <c r="A120" s="120" t="s">
        <v>598</v>
      </c>
      <c r="B120" s="120" t="s">
        <v>599</v>
      </c>
      <c r="C120" s="120" t="s">
        <v>119</v>
      </c>
      <c r="D120" s="120" t="s">
        <v>319</v>
      </c>
      <c r="E120" s="120" t="s">
        <v>1609</v>
      </c>
      <c r="F120" s="121">
        <v>2016</v>
      </c>
      <c r="G120" s="120" t="s">
        <v>1593</v>
      </c>
      <c r="H120" s="120" t="s">
        <v>1610</v>
      </c>
      <c r="I120" s="120"/>
      <c r="J120" s="130">
        <v>1460.9459452044773</v>
      </c>
      <c r="K120" s="131" t="s">
        <v>71</v>
      </c>
    </row>
    <row r="121" spans="1:11">
      <c r="A121" s="120" t="s">
        <v>418</v>
      </c>
      <c r="B121" s="120" t="s">
        <v>419</v>
      </c>
      <c r="C121" s="120" t="s">
        <v>116</v>
      </c>
      <c r="D121" s="120" t="s">
        <v>322</v>
      </c>
      <c r="E121" s="120" t="s">
        <v>1609</v>
      </c>
      <c r="F121" s="121">
        <v>2016</v>
      </c>
      <c r="G121" s="120" t="s">
        <v>1593</v>
      </c>
      <c r="H121" s="120" t="s">
        <v>1610</v>
      </c>
      <c r="I121" s="120"/>
      <c r="J121" s="130">
        <v>1404.0916373494372</v>
      </c>
      <c r="K121" s="131" t="s">
        <v>71</v>
      </c>
    </row>
    <row r="122" spans="1:11">
      <c r="A122" s="120" t="s">
        <v>718</v>
      </c>
      <c r="B122" s="120" t="s">
        <v>719</v>
      </c>
      <c r="C122" s="120" t="s">
        <v>115</v>
      </c>
      <c r="D122" s="120" t="s">
        <v>121</v>
      </c>
      <c r="E122" s="120" t="s">
        <v>1609</v>
      </c>
      <c r="F122" s="121">
        <v>2016</v>
      </c>
      <c r="G122" s="120" t="s">
        <v>1593</v>
      </c>
      <c r="H122" s="120" t="s">
        <v>1610</v>
      </c>
      <c r="I122" s="120"/>
      <c r="J122" s="130">
        <v>1603.3985407637801</v>
      </c>
      <c r="K122" s="131" t="s">
        <v>71</v>
      </c>
    </row>
    <row r="123" spans="1:11">
      <c r="A123" s="120" t="s">
        <v>594</v>
      </c>
      <c r="B123" s="120" t="s">
        <v>595</v>
      </c>
      <c r="C123" s="120" t="s">
        <v>115</v>
      </c>
      <c r="D123" s="120" t="s">
        <v>322</v>
      </c>
      <c r="E123" s="120" t="s">
        <v>1609</v>
      </c>
      <c r="F123" s="121">
        <v>2016</v>
      </c>
      <c r="G123" s="120" t="s">
        <v>1593</v>
      </c>
      <c r="H123" s="120" t="s">
        <v>1610</v>
      </c>
      <c r="I123" s="120"/>
      <c r="J123" s="130">
        <v>2161.5885525514923</v>
      </c>
      <c r="K123" s="131" t="s">
        <v>71</v>
      </c>
    </row>
    <row r="124" spans="1:11">
      <c r="A124" s="120" t="s">
        <v>624</v>
      </c>
      <c r="B124" s="120" t="s">
        <v>625</v>
      </c>
      <c r="C124" s="120" t="s">
        <v>116</v>
      </c>
      <c r="D124" s="120" t="s">
        <v>322</v>
      </c>
      <c r="E124" s="120" t="s">
        <v>1609</v>
      </c>
      <c r="F124" s="121">
        <v>2016</v>
      </c>
      <c r="G124" s="120" t="s">
        <v>1593</v>
      </c>
      <c r="H124" s="120" t="s">
        <v>1610</v>
      </c>
      <c r="I124" s="120"/>
      <c r="J124" s="130">
        <v>1455.3737224416011</v>
      </c>
      <c r="K124" s="131" t="s">
        <v>71</v>
      </c>
    </row>
    <row r="125" spans="1:11">
      <c r="A125" s="120" t="s">
        <v>768</v>
      </c>
      <c r="B125" s="120" t="s">
        <v>627</v>
      </c>
      <c r="C125" s="120" t="s">
        <v>119</v>
      </c>
      <c r="D125" s="120" t="s">
        <v>325</v>
      </c>
      <c r="E125" s="120" t="s">
        <v>1609</v>
      </c>
      <c r="F125" s="121">
        <v>2016</v>
      </c>
      <c r="G125" s="120" t="s">
        <v>1593</v>
      </c>
      <c r="H125" s="120" t="s">
        <v>1610</v>
      </c>
      <c r="I125" s="120"/>
      <c r="J125" s="130">
        <v>1030.6804797105954</v>
      </c>
      <c r="K125" s="131" t="s">
        <v>71</v>
      </c>
    </row>
    <row r="126" spans="1:11">
      <c r="A126" s="120" t="s">
        <v>382</v>
      </c>
      <c r="B126" s="120" t="s">
        <v>383</v>
      </c>
      <c r="C126" s="120" t="s">
        <v>119</v>
      </c>
      <c r="D126" s="120" t="s">
        <v>319</v>
      </c>
      <c r="E126" s="120" t="s">
        <v>1609</v>
      </c>
      <c r="F126" s="121">
        <v>2016</v>
      </c>
      <c r="G126" s="120" t="s">
        <v>1593</v>
      </c>
      <c r="H126" s="120" t="s">
        <v>1610</v>
      </c>
      <c r="I126" s="120"/>
      <c r="J126" s="130">
        <v>1443.3514978686194</v>
      </c>
      <c r="K126" s="131" t="s">
        <v>71</v>
      </c>
    </row>
    <row r="127" spans="1:11">
      <c r="A127" s="120" t="s">
        <v>644</v>
      </c>
      <c r="B127" s="120" t="s">
        <v>645</v>
      </c>
      <c r="C127" s="120" t="s">
        <v>119</v>
      </c>
      <c r="D127" s="120" t="s">
        <v>319</v>
      </c>
      <c r="E127" s="120" t="s">
        <v>1609</v>
      </c>
      <c r="F127" s="121">
        <v>2016</v>
      </c>
      <c r="G127" s="120" t="s">
        <v>1593</v>
      </c>
      <c r="H127" s="120" t="s">
        <v>1610</v>
      </c>
      <c r="I127" s="120"/>
      <c r="J127" s="130">
        <v>1185.914391444602</v>
      </c>
      <c r="K127" s="131" t="s">
        <v>71</v>
      </c>
    </row>
    <row r="128" spans="1:11">
      <c r="A128" s="120" t="s">
        <v>640</v>
      </c>
      <c r="B128" s="120" t="s">
        <v>641</v>
      </c>
      <c r="C128" s="120" t="s">
        <v>114</v>
      </c>
      <c r="D128" s="120" t="s">
        <v>322</v>
      </c>
      <c r="E128" s="120" t="s">
        <v>1609</v>
      </c>
      <c r="F128" s="121">
        <v>2016</v>
      </c>
      <c r="G128" s="120" t="s">
        <v>1593</v>
      </c>
      <c r="H128" s="120" t="s">
        <v>1610</v>
      </c>
      <c r="I128" s="120"/>
      <c r="J128" s="130">
        <v>1134.9251257685814</v>
      </c>
      <c r="K128" s="131" t="s">
        <v>71</v>
      </c>
    </row>
    <row r="129" spans="1:11">
      <c r="A129" s="120" t="s">
        <v>636</v>
      </c>
      <c r="B129" s="120" t="s">
        <v>637</v>
      </c>
      <c r="C129" s="120" t="s">
        <v>115</v>
      </c>
      <c r="D129" s="120" t="s">
        <v>325</v>
      </c>
      <c r="E129" s="120" t="s">
        <v>1609</v>
      </c>
      <c r="F129" s="121">
        <v>2016</v>
      </c>
      <c r="G129" s="120" t="s">
        <v>1593</v>
      </c>
      <c r="H129" s="120" t="s">
        <v>1610</v>
      </c>
      <c r="I129" s="120"/>
      <c r="J129" s="130">
        <v>953.4501235609813</v>
      </c>
      <c r="K129" s="131" t="s">
        <v>71</v>
      </c>
    </row>
    <row r="130" spans="1:11">
      <c r="A130" s="120" t="s">
        <v>654</v>
      </c>
      <c r="B130" s="120" t="s">
        <v>655</v>
      </c>
      <c r="C130" s="120" t="s">
        <v>115</v>
      </c>
      <c r="D130" s="120" t="s">
        <v>322</v>
      </c>
      <c r="E130" s="120" t="s">
        <v>1609</v>
      </c>
      <c r="F130" s="121">
        <v>2016</v>
      </c>
      <c r="G130" s="120" t="s">
        <v>1593</v>
      </c>
      <c r="H130" s="120" t="s">
        <v>1610</v>
      </c>
      <c r="I130" s="120"/>
      <c r="J130" s="130">
        <v>196.46186453799632</v>
      </c>
      <c r="K130" s="131" t="s">
        <v>71</v>
      </c>
    </row>
    <row r="131" spans="1:11">
      <c r="A131" s="120" t="s">
        <v>642</v>
      </c>
      <c r="B131" s="120" t="s">
        <v>643</v>
      </c>
      <c r="C131" s="120" t="s">
        <v>114</v>
      </c>
      <c r="D131" s="120" t="s">
        <v>325</v>
      </c>
      <c r="E131" s="120" t="s">
        <v>1609</v>
      </c>
      <c r="F131" s="121">
        <v>2016</v>
      </c>
      <c r="G131" s="120" t="s">
        <v>1593</v>
      </c>
      <c r="H131" s="120" t="s">
        <v>1610</v>
      </c>
      <c r="I131" s="120"/>
      <c r="J131" s="130">
        <v>1094.9583539988764</v>
      </c>
      <c r="K131" s="131" t="s">
        <v>71</v>
      </c>
    </row>
    <row r="132" spans="1:11">
      <c r="A132" s="120" t="s">
        <v>648</v>
      </c>
      <c r="B132" s="120" t="s">
        <v>649</v>
      </c>
      <c r="C132" s="120" t="s">
        <v>116</v>
      </c>
      <c r="D132" s="120" t="s">
        <v>121</v>
      </c>
      <c r="E132" s="120" t="s">
        <v>1609</v>
      </c>
      <c r="F132" s="121">
        <v>2016</v>
      </c>
      <c r="G132" s="120" t="s">
        <v>1593</v>
      </c>
      <c r="H132" s="120" t="s">
        <v>1610</v>
      </c>
      <c r="I132" s="120"/>
      <c r="J132" s="130">
        <v>1411.169526155634</v>
      </c>
      <c r="K132" s="131" t="s">
        <v>71</v>
      </c>
    </row>
    <row r="133" spans="1:11">
      <c r="A133" s="120" t="s">
        <v>650</v>
      </c>
      <c r="B133" s="120" t="s">
        <v>651</v>
      </c>
      <c r="C133" s="120" t="s">
        <v>117</v>
      </c>
      <c r="D133" s="120" t="s">
        <v>325</v>
      </c>
      <c r="E133" s="120" t="s">
        <v>1609</v>
      </c>
      <c r="F133" s="121">
        <v>2016</v>
      </c>
      <c r="G133" s="120" t="s">
        <v>1593</v>
      </c>
      <c r="H133" s="120" t="s">
        <v>1610</v>
      </c>
      <c r="I133" s="120"/>
      <c r="J133" s="130">
        <v>1056.6866015436524</v>
      </c>
      <c r="K133" s="131" t="s">
        <v>71</v>
      </c>
    </row>
    <row r="134" spans="1:11">
      <c r="A134" s="120" t="s">
        <v>774</v>
      </c>
      <c r="B134" s="120" t="s">
        <v>653</v>
      </c>
      <c r="C134" s="120" t="s">
        <v>115</v>
      </c>
      <c r="D134" s="120" t="s">
        <v>322</v>
      </c>
      <c r="E134" s="120" t="s">
        <v>1609</v>
      </c>
      <c r="F134" s="121">
        <v>2016</v>
      </c>
      <c r="G134" s="120" t="s">
        <v>1593</v>
      </c>
      <c r="H134" s="120" t="s">
        <v>1610</v>
      </c>
      <c r="I134" s="120"/>
      <c r="J134" s="130">
        <v>408.75515934467558</v>
      </c>
      <c r="K134" s="131" t="s">
        <v>71</v>
      </c>
    </row>
    <row r="135" spans="1:11">
      <c r="A135" s="120" t="s">
        <v>638</v>
      </c>
      <c r="B135" s="120" t="s">
        <v>639</v>
      </c>
      <c r="C135" s="120" t="s">
        <v>119</v>
      </c>
      <c r="D135" s="120" t="s">
        <v>325</v>
      </c>
      <c r="E135" s="120" t="s">
        <v>1609</v>
      </c>
      <c r="F135" s="121">
        <v>2016</v>
      </c>
      <c r="G135" s="120" t="s">
        <v>1593</v>
      </c>
      <c r="H135" s="120" t="s">
        <v>1610</v>
      </c>
      <c r="I135" s="120"/>
      <c r="J135" s="130">
        <v>686.98545622066263</v>
      </c>
      <c r="K135" s="131" t="s">
        <v>71</v>
      </c>
    </row>
    <row r="136" spans="1:11">
      <c r="A136" s="120" t="s">
        <v>656</v>
      </c>
      <c r="B136" s="120" t="s">
        <v>657</v>
      </c>
      <c r="C136" s="120" t="s">
        <v>119</v>
      </c>
      <c r="D136" s="120" t="s">
        <v>319</v>
      </c>
      <c r="E136" s="120" t="s">
        <v>1609</v>
      </c>
      <c r="F136" s="121">
        <v>2016</v>
      </c>
      <c r="G136" s="120" t="s">
        <v>1593</v>
      </c>
      <c r="H136" s="120" t="s">
        <v>1610</v>
      </c>
      <c r="I136" s="120"/>
      <c r="J136" s="130">
        <v>1618.927912794293</v>
      </c>
      <c r="K136" s="131" t="s">
        <v>71</v>
      </c>
    </row>
    <row r="137" spans="1:11">
      <c r="A137" s="120" t="s">
        <v>658</v>
      </c>
      <c r="B137" s="120" t="s">
        <v>659</v>
      </c>
      <c r="C137" s="120" t="s">
        <v>115</v>
      </c>
      <c r="D137" s="120" t="s">
        <v>325</v>
      </c>
      <c r="E137" s="120" t="s">
        <v>1609</v>
      </c>
      <c r="F137" s="121">
        <v>2016</v>
      </c>
      <c r="G137" s="120" t="s">
        <v>1593</v>
      </c>
      <c r="H137" s="120" t="s">
        <v>1610</v>
      </c>
      <c r="I137" s="120"/>
      <c r="J137" s="130">
        <v>612.02057091952611</v>
      </c>
      <c r="K137" s="131" t="s">
        <v>71</v>
      </c>
    </row>
    <row r="138" spans="1:11">
      <c r="A138" s="120" t="s">
        <v>666</v>
      </c>
      <c r="B138" s="120" t="s">
        <v>667</v>
      </c>
      <c r="C138" s="120" t="s">
        <v>116</v>
      </c>
      <c r="D138" s="120" t="s">
        <v>121</v>
      </c>
      <c r="E138" s="120" t="s">
        <v>1609</v>
      </c>
      <c r="F138" s="121">
        <v>2016</v>
      </c>
      <c r="G138" s="120" t="s">
        <v>1593</v>
      </c>
      <c r="H138" s="120" t="s">
        <v>1610</v>
      </c>
      <c r="I138" s="120"/>
      <c r="J138" s="130">
        <v>1054.417668497071</v>
      </c>
      <c r="K138" s="131" t="s">
        <v>71</v>
      </c>
    </row>
    <row r="139" spans="1:11">
      <c r="A139" s="120" t="s">
        <v>664</v>
      </c>
      <c r="B139" s="120" t="s">
        <v>665</v>
      </c>
      <c r="C139" s="120" t="s">
        <v>120</v>
      </c>
      <c r="D139" s="120" t="s">
        <v>121</v>
      </c>
      <c r="E139" s="120" t="s">
        <v>1609</v>
      </c>
      <c r="F139" s="121">
        <v>2016</v>
      </c>
      <c r="G139" s="120" t="s">
        <v>1593</v>
      </c>
      <c r="H139" s="120" t="s">
        <v>1610</v>
      </c>
      <c r="I139" s="120"/>
      <c r="J139" s="130">
        <v>2153.2465378892039</v>
      </c>
      <c r="K139" s="131" t="s">
        <v>71</v>
      </c>
    </row>
    <row r="140" spans="1:11">
      <c r="A140" s="120" t="s">
        <v>668</v>
      </c>
      <c r="B140" s="120" t="s">
        <v>669</v>
      </c>
      <c r="C140" s="120" t="s">
        <v>115</v>
      </c>
      <c r="D140" s="120" t="s">
        <v>325</v>
      </c>
      <c r="E140" s="120" t="s">
        <v>1609</v>
      </c>
      <c r="F140" s="121">
        <v>2016</v>
      </c>
      <c r="G140" s="120" t="s">
        <v>1593</v>
      </c>
      <c r="H140" s="120" t="s">
        <v>1610</v>
      </c>
      <c r="I140" s="120"/>
      <c r="J140" s="130">
        <v>791.54778098897043</v>
      </c>
      <c r="K140" s="131" t="s">
        <v>71</v>
      </c>
    </row>
    <row r="141" spans="1:11">
      <c r="A141" s="120" t="s">
        <v>674</v>
      </c>
      <c r="B141" s="120" t="s">
        <v>675</v>
      </c>
      <c r="C141" s="120" t="s">
        <v>114</v>
      </c>
      <c r="D141" s="120" t="s">
        <v>325</v>
      </c>
      <c r="E141" s="120" t="s">
        <v>1609</v>
      </c>
      <c r="F141" s="121">
        <v>2016</v>
      </c>
      <c r="G141" s="120" t="s">
        <v>1593</v>
      </c>
      <c r="H141" s="120" t="s">
        <v>1610</v>
      </c>
      <c r="I141" s="120"/>
      <c r="J141" s="130">
        <v>1250.3235108846529</v>
      </c>
      <c r="K141" s="131" t="s">
        <v>71</v>
      </c>
    </row>
    <row r="142" spans="1:11">
      <c r="A142" s="120" t="s">
        <v>610</v>
      </c>
      <c r="B142" s="120" t="s">
        <v>611</v>
      </c>
      <c r="C142" s="120" t="s">
        <v>119</v>
      </c>
      <c r="D142" s="120" t="s">
        <v>322</v>
      </c>
      <c r="E142" s="120" t="s">
        <v>1609</v>
      </c>
      <c r="F142" s="121">
        <v>2016</v>
      </c>
      <c r="G142" s="120" t="s">
        <v>1593</v>
      </c>
      <c r="H142" s="120" t="s">
        <v>1610</v>
      </c>
      <c r="I142" s="120"/>
      <c r="J142" s="130">
        <v>1300.1970073239415</v>
      </c>
      <c r="K142" s="131" t="s">
        <v>71</v>
      </c>
    </row>
    <row r="143" spans="1:11">
      <c r="A143" s="120" t="s">
        <v>680</v>
      </c>
      <c r="B143" s="120" t="s">
        <v>681</v>
      </c>
      <c r="C143" s="120" t="s">
        <v>119</v>
      </c>
      <c r="D143" s="120" t="s">
        <v>325</v>
      </c>
      <c r="E143" s="120" t="s">
        <v>1609</v>
      </c>
      <c r="F143" s="121">
        <v>2016</v>
      </c>
      <c r="G143" s="120" t="s">
        <v>1593</v>
      </c>
      <c r="H143" s="120" t="s">
        <v>1610</v>
      </c>
      <c r="I143" s="120"/>
      <c r="J143" s="130">
        <v>976.57300179421566</v>
      </c>
      <c r="K143" s="131" t="s">
        <v>71</v>
      </c>
    </row>
    <row r="144" spans="1:11">
      <c r="A144" s="120" t="s">
        <v>682</v>
      </c>
      <c r="B144" s="120" t="s">
        <v>683</v>
      </c>
      <c r="C144" s="120" t="s">
        <v>119</v>
      </c>
      <c r="D144" s="120" t="s">
        <v>325</v>
      </c>
      <c r="E144" s="120" t="s">
        <v>1609</v>
      </c>
      <c r="F144" s="121">
        <v>2016</v>
      </c>
      <c r="G144" s="120" t="s">
        <v>1593</v>
      </c>
      <c r="H144" s="120" t="s">
        <v>1610</v>
      </c>
      <c r="I144" s="120"/>
      <c r="J144" s="130">
        <v>2117.282987776196</v>
      </c>
      <c r="K144" s="131" t="s">
        <v>71</v>
      </c>
    </row>
    <row r="145" spans="1:11">
      <c r="A145" s="120" t="s">
        <v>314</v>
      </c>
      <c r="B145" s="120" t="s">
        <v>315</v>
      </c>
      <c r="C145" s="120" t="s">
        <v>1566</v>
      </c>
      <c r="D145" s="120" t="s">
        <v>314</v>
      </c>
      <c r="E145" s="120" t="s">
        <v>1609</v>
      </c>
      <c r="F145" s="121">
        <v>2016</v>
      </c>
      <c r="G145" s="120" t="s">
        <v>1593</v>
      </c>
      <c r="H145" s="120" t="s">
        <v>1610</v>
      </c>
      <c r="I145" s="120"/>
      <c r="J145" s="130">
        <v>791.7368538166387</v>
      </c>
      <c r="K145" s="131" t="s">
        <v>71</v>
      </c>
    </row>
    <row r="146" spans="1:11">
      <c r="A146" s="120" t="s">
        <v>317</v>
      </c>
      <c r="B146" s="120" t="s">
        <v>318</v>
      </c>
      <c r="C146" s="120" t="s">
        <v>118</v>
      </c>
      <c r="D146" s="120" t="s">
        <v>319</v>
      </c>
      <c r="E146" s="120" t="s">
        <v>1609</v>
      </c>
      <c r="F146" s="121">
        <v>2016</v>
      </c>
      <c r="G146" s="120" t="s">
        <v>1593</v>
      </c>
      <c r="H146" s="120" t="s">
        <v>1611</v>
      </c>
      <c r="I146" s="120"/>
      <c r="J146" s="130">
        <v>742.54686246839219</v>
      </c>
      <c r="K146" s="131" t="s">
        <v>71</v>
      </c>
    </row>
    <row r="147" spans="1:11">
      <c r="A147" s="120" t="s">
        <v>326</v>
      </c>
      <c r="B147" s="120" t="s">
        <v>327</v>
      </c>
      <c r="C147" s="120" t="s">
        <v>119</v>
      </c>
      <c r="D147" s="120" t="s">
        <v>325</v>
      </c>
      <c r="E147" s="120" t="s">
        <v>1609</v>
      </c>
      <c r="F147" s="121">
        <v>2016</v>
      </c>
      <c r="G147" s="120" t="s">
        <v>1593</v>
      </c>
      <c r="H147" s="120" t="s">
        <v>1611</v>
      </c>
      <c r="I147" s="120"/>
      <c r="J147" s="130">
        <v>1546.6334649490443</v>
      </c>
      <c r="K147" s="131" t="s">
        <v>71</v>
      </c>
    </row>
    <row r="148" spans="1:11">
      <c r="A148" s="120" t="s">
        <v>320</v>
      </c>
      <c r="B148" s="120" t="s">
        <v>321</v>
      </c>
      <c r="C148" s="120" t="s">
        <v>115</v>
      </c>
      <c r="D148" s="120" t="s">
        <v>322</v>
      </c>
      <c r="E148" s="120" t="s">
        <v>1609</v>
      </c>
      <c r="F148" s="121">
        <v>2016</v>
      </c>
      <c r="G148" s="120" t="s">
        <v>1593</v>
      </c>
      <c r="H148" s="120" t="s">
        <v>1611</v>
      </c>
      <c r="I148" s="120"/>
      <c r="J148" s="130">
        <v>1172.9903358135093</v>
      </c>
      <c r="K148" s="131" t="s">
        <v>71</v>
      </c>
    </row>
    <row r="149" spans="1:11">
      <c r="A149" s="120" t="s">
        <v>688</v>
      </c>
      <c r="B149" s="120" t="s">
        <v>689</v>
      </c>
      <c r="C149" s="120" t="s">
        <v>115</v>
      </c>
      <c r="D149" s="120" t="s">
        <v>121</v>
      </c>
      <c r="E149" s="120" t="s">
        <v>1609</v>
      </c>
      <c r="F149" s="121">
        <v>2016</v>
      </c>
      <c r="G149" s="120" t="s">
        <v>1593</v>
      </c>
      <c r="H149" s="120" t="s">
        <v>1611</v>
      </c>
      <c r="I149" s="120"/>
      <c r="J149" s="130">
        <v>3272.9379687665992</v>
      </c>
      <c r="K149" s="131" t="s">
        <v>71</v>
      </c>
    </row>
    <row r="150" spans="1:11">
      <c r="A150" s="120" t="s">
        <v>660</v>
      </c>
      <c r="B150" s="120" t="s">
        <v>661</v>
      </c>
      <c r="C150" s="120" t="s">
        <v>117</v>
      </c>
      <c r="D150" s="120" t="s">
        <v>121</v>
      </c>
      <c r="E150" s="120" t="s">
        <v>1609</v>
      </c>
      <c r="F150" s="121">
        <v>2016</v>
      </c>
      <c r="G150" s="120" t="s">
        <v>1593</v>
      </c>
      <c r="H150" s="120" t="s">
        <v>1611</v>
      </c>
      <c r="I150" s="120"/>
      <c r="J150" s="130">
        <v>153.75470985279861</v>
      </c>
      <c r="K150" s="131" t="s">
        <v>71</v>
      </c>
    </row>
    <row r="151" spans="1:11">
      <c r="A151" s="120" t="s">
        <v>330</v>
      </c>
      <c r="B151" s="120" t="s">
        <v>331</v>
      </c>
      <c r="C151" s="120" t="s">
        <v>116</v>
      </c>
      <c r="D151" s="120" t="s">
        <v>322</v>
      </c>
      <c r="E151" s="120" t="s">
        <v>1609</v>
      </c>
      <c r="F151" s="121">
        <v>2016</v>
      </c>
      <c r="G151" s="120" t="s">
        <v>1593</v>
      </c>
      <c r="H151" s="120" t="s">
        <v>1611</v>
      </c>
      <c r="I151" s="120"/>
      <c r="J151" s="130">
        <v>2251.7481703108397</v>
      </c>
      <c r="K151" s="131" t="s">
        <v>71</v>
      </c>
    </row>
    <row r="152" spans="1:11">
      <c r="A152" s="120" t="s">
        <v>332</v>
      </c>
      <c r="B152" s="120" t="s">
        <v>333</v>
      </c>
      <c r="C152" s="120" t="s">
        <v>115</v>
      </c>
      <c r="D152" s="120" t="s">
        <v>322</v>
      </c>
      <c r="E152" s="120" t="s">
        <v>1609</v>
      </c>
      <c r="F152" s="121">
        <v>2016</v>
      </c>
      <c r="G152" s="120" t="s">
        <v>1593</v>
      </c>
      <c r="H152" s="120" t="s">
        <v>1611</v>
      </c>
      <c r="I152" s="120"/>
      <c r="J152" s="130">
        <v>285.79754124058996</v>
      </c>
      <c r="K152" s="131" t="s">
        <v>71</v>
      </c>
    </row>
    <row r="153" spans="1:11">
      <c r="A153" s="120" t="s">
        <v>334</v>
      </c>
      <c r="B153" s="120" t="s">
        <v>335</v>
      </c>
      <c r="C153" s="120" t="s">
        <v>114</v>
      </c>
      <c r="D153" s="120" t="s">
        <v>121</v>
      </c>
      <c r="E153" s="120" t="s">
        <v>1609</v>
      </c>
      <c r="F153" s="121">
        <v>2016</v>
      </c>
      <c r="G153" s="120" t="s">
        <v>1593</v>
      </c>
      <c r="H153" s="120" t="s">
        <v>1611</v>
      </c>
      <c r="I153" s="120"/>
      <c r="J153" s="130">
        <v>707.99847241895213</v>
      </c>
      <c r="K153" s="131" t="s">
        <v>71</v>
      </c>
    </row>
    <row r="154" spans="1:11">
      <c r="A154" s="120" t="s">
        <v>338</v>
      </c>
      <c r="B154" s="120" t="s">
        <v>339</v>
      </c>
      <c r="C154" s="120" t="s">
        <v>115</v>
      </c>
      <c r="D154" s="120" t="s">
        <v>322</v>
      </c>
      <c r="E154" s="120" t="s">
        <v>1609</v>
      </c>
      <c r="F154" s="121">
        <v>2016</v>
      </c>
      <c r="G154" s="120" t="s">
        <v>1593</v>
      </c>
      <c r="H154" s="120" t="s">
        <v>1611</v>
      </c>
      <c r="I154" s="120"/>
      <c r="J154" s="130">
        <v>732.8211056915618</v>
      </c>
      <c r="K154" s="131" t="s">
        <v>71</v>
      </c>
    </row>
    <row r="155" spans="1:11">
      <c r="A155" s="120" t="s">
        <v>370</v>
      </c>
      <c r="B155" s="120" t="s">
        <v>371</v>
      </c>
      <c r="C155" s="120" t="s">
        <v>119</v>
      </c>
      <c r="D155" s="120" t="s">
        <v>319</v>
      </c>
      <c r="E155" s="120" t="s">
        <v>1609</v>
      </c>
      <c r="F155" s="121">
        <v>2016</v>
      </c>
      <c r="G155" s="120" t="s">
        <v>1593</v>
      </c>
      <c r="H155" s="120" t="s">
        <v>1611</v>
      </c>
      <c r="I155" s="120"/>
      <c r="J155" s="130">
        <v>1267.6113634414673</v>
      </c>
      <c r="K155" s="131" t="s">
        <v>71</v>
      </c>
    </row>
    <row r="156" spans="1:11">
      <c r="A156" s="120" t="s">
        <v>348</v>
      </c>
      <c r="B156" s="120" t="s">
        <v>349</v>
      </c>
      <c r="C156" s="120" t="s">
        <v>115</v>
      </c>
      <c r="D156" s="120" t="s">
        <v>121</v>
      </c>
      <c r="E156" s="120" t="s">
        <v>1609</v>
      </c>
      <c r="F156" s="121">
        <v>2016</v>
      </c>
      <c r="G156" s="120" t="s">
        <v>1593</v>
      </c>
      <c r="H156" s="120" t="s">
        <v>1611</v>
      </c>
      <c r="I156" s="120"/>
      <c r="J156" s="130">
        <v>6413.1927718241141</v>
      </c>
      <c r="K156" s="131" t="s">
        <v>71</v>
      </c>
    </row>
    <row r="157" spans="1:11">
      <c r="A157" s="120" t="s">
        <v>352</v>
      </c>
      <c r="B157" s="120" t="s">
        <v>353</v>
      </c>
      <c r="C157" s="120" t="s">
        <v>119</v>
      </c>
      <c r="D157" s="120" t="s">
        <v>325</v>
      </c>
      <c r="E157" s="120" t="s">
        <v>1609</v>
      </c>
      <c r="F157" s="121">
        <v>2016</v>
      </c>
      <c r="G157" s="120" t="s">
        <v>1593</v>
      </c>
      <c r="H157" s="120" t="s">
        <v>1611</v>
      </c>
      <c r="I157" s="120"/>
      <c r="J157" s="130">
        <v>1212.4949289681028</v>
      </c>
      <c r="K157" s="131" t="s">
        <v>71</v>
      </c>
    </row>
    <row r="158" spans="1:11">
      <c r="A158" s="120" t="s">
        <v>368</v>
      </c>
      <c r="B158" s="120" t="s">
        <v>369</v>
      </c>
      <c r="C158" s="120" t="s">
        <v>119</v>
      </c>
      <c r="D158" s="120" t="s">
        <v>319</v>
      </c>
      <c r="E158" s="120" t="s">
        <v>1609</v>
      </c>
      <c r="F158" s="121">
        <v>2016</v>
      </c>
      <c r="G158" s="120" t="s">
        <v>1593</v>
      </c>
      <c r="H158" s="120" t="s">
        <v>1611</v>
      </c>
      <c r="I158" s="120"/>
      <c r="J158" s="130">
        <v>649.39995747439593</v>
      </c>
      <c r="K158" s="131" t="s">
        <v>71</v>
      </c>
    </row>
    <row r="159" spans="1:11">
      <c r="A159" s="120" t="s">
        <v>342</v>
      </c>
      <c r="B159" s="120" t="s">
        <v>343</v>
      </c>
      <c r="C159" s="120" t="s">
        <v>118</v>
      </c>
      <c r="D159" s="120" t="s">
        <v>325</v>
      </c>
      <c r="E159" s="120" t="s">
        <v>1609</v>
      </c>
      <c r="F159" s="121">
        <v>2016</v>
      </c>
      <c r="G159" s="120" t="s">
        <v>1593</v>
      </c>
      <c r="H159" s="120" t="s">
        <v>1611</v>
      </c>
      <c r="I159" s="120"/>
      <c r="J159" s="130">
        <v>1414.9336195542126</v>
      </c>
      <c r="K159" s="131" t="s">
        <v>71</v>
      </c>
    </row>
    <row r="160" spans="1:11">
      <c r="A160" s="120" t="s">
        <v>366</v>
      </c>
      <c r="B160" s="120" t="s">
        <v>367</v>
      </c>
      <c r="C160" s="120" t="s">
        <v>115</v>
      </c>
      <c r="D160" s="120" t="s">
        <v>322</v>
      </c>
      <c r="E160" s="120" t="s">
        <v>1609</v>
      </c>
      <c r="F160" s="121">
        <v>2016</v>
      </c>
      <c r="G160" s="120" t="s">
        <v>1593</v>
      </c>
      <c r="H160" s="120" t="s">
        <v>1611</v>
      </c>
      <c r="I160" s="120"/>
      <c r="J160" s="130">
        <v>1149.4527649932434</v>
      </c>
      <c r="K160" s="131" t="s">
        <v>71</v>
      </c>
    </row>
    <row r="161" spans="1:11">
      <c r="A161" s="120" t="s">
        <v>690</v>
      </c>
      <c r="B161" s="120" t="s">
        <v>691</v>
      </c>
      <c r="C161" s="120" t="s">
        <v>117</v>
      </c>
      <c r="D161" s="120" t="s">
        <v>121</v>
      </c>
      <c r="E161" s="120" t="s">
        <v>1609</v>
      </c>
      <c r="F161" s="121">
        <v>2016</v>
      </c>
      <c r="G161" s="120" t="s">
        <v>1593</v>
      </c>
      <c r="H161" s="120" t="s">
        <v>1611</v>
      </c>
      <c r="I161" s="120"/>
      <c r="J161" s="130">
        <v>133.59316688020141</v>
      </c>
      <c r="K161" s="131" t="s">
        <v>71</v>
      </c>
    </row>
    <row r="162" spans="1:11">
      <c r="A162" s="120" t="s">
        <v>346</v>
      </c>
      <c r="B162" s="120" t="s">
        <v>347</v>
      </c>
      <c r="C162" s="120" t="s">
        <v>115</v>
      </c>
      <c r="D162" s="120" t="s">
        <v>322</v>
      </c>
      <c r="E162" s="120" t="s">
        <v>1609</v>
      </c>
      <c r="F162" s="121">
        <v>2016</v>
      </c>
      <c r="G162" s="120" t="s">
        <v>1593</v>
      </c>
      <c r="H162" s="120" t="s">
        <v>1611</v>
      </c>
      <c r="I162" s="120"/>
      <c r="J162" s="130">
        <v>2285.9675522133925</v>
      </c>
      <c r="K162" s="131" t="s">
        <v>71</v>
      </c>
    </row>
    <row r="163" spans="1:11">
      <c r="A163" s="120" t="s">
        <v>350</v>
      </c>
      <c r="B163" s="120" t="s">
        <v>351</v>
      </c>
      <c r="C163" s="120" t="s">
        <v>116</v>
      </c>
      <c r="D163" s="120" t="s">
        <v>322</v>
      </c>
      <c r="E163" s="120" t="s">
        <v>1609</v>
      </c>
      <c r="F163" s="121">
        <v>2016</v>
      </c>
      <c r="G163" s="120" t="s">
        <v>1593</v>
      </c>
      <c r="H163" s="120" t="s">
        <v>1611</v>
      </c>
      <c r="I163" s="120"/>
      <c r="J163" s="130">
        <v>1861.3045323195349</v>
      </c>
      <c r="K163" s="131" t="s">
        <v>71</v>
      </c>
    </row>
    <row r="164" spans="1:11">
      <c r="A164" s="120" t="s">
        <v>356</v>
      </c>
      <c r="B164" s="120" t="s">
        <v>357</v>
      </c>
      <c r="C164" s="120" t="s">
        <v>116</v>
      </c>
      <c r="D164" s="120" t="s">
        <v>325</v>
      </c>
      <c r="E164" s="120" t="s">
        <v>1609</v>
      </c>
      <c r="F164" s="121">
        <v>2016</v>
      </c>
      <c r="G164" s="120" t="s">
        <v>1593</v>
      </c>
      <c r="H164" s="120" t="s">
        <v>1611</v>
      </c>
      <c r="I164" s="120"/>
      <c r="J164" s="130">
        <v>1670.3865012947456</v>
      </c>
      <c r="K164" s="131" t="s">
        <v>71</v>
      </c>
    </row>
    <row r="165" spans="1:11">
      <c r="A165" s="120" t="s">
        <v>362</v>
      </c>
      <c r="B165" s="120" t="s">
        <v>363</v>
      </c>
      <c r="C165" s="120" t="s">
        <v>116</v>
      </c>
      <c r="D165" s="120" t="s">
        <v>322</v>
      </c>
      <c r="E165" s="120" t="s">
        <v>1609</v>
      </c>
      <c r="F165" s="121">
        <v>2016</v>
      </c>
      <c r="G165" s="120" t="s">
        <v>1593</v>
      </c>
      <c r="H165" s="120" t="s">
        <v>1611</v>
      </c>
      <c r="I165" s="120"/>
      <c r="J165" s="130">
        <v>1686.7487739304017</v>
      </c>
      <c r="K165" s="131" t="s">
        <v>71</v>
      </c>
    </row>
    <row r="166" spans="1:11">
      <c r="A166" s="120" t="s">
        <v>354</v>
      </c>
      <c r="B166" s="120" t="s">
        <v>355</v>
      </c>
      <c r="C166" s="120" t="s">
        <v>118</v>
      </c>
      <c r="D166" s="120" t="s">
        <v>325</v>
      </c>
      <c r="E166" s="120" t="s">
        <v>1609</v>
      </c>
      <c r="F166" s="121">
        <v>2016</v>
      </c>
      <c r="G166" s="120" t="s">
        <v>1593</v>
      </c>
      <c r="H166" s="120" t="s">
        <v>1611</v>
      </c>
      <c r="I166" s="120"/>
      <c r="J166" s="130">
        <v>8871.2766668446257</v>
      </c>
      <c r="K166" s="131" t="s">
        <v>71</v>
      </c>
    </row>
    <row r="167" spans="1:11">
      <c r="A167" s="120" t="s">
        <v>360</v>
      </c>
      <c r="B167" s="120" t="s">
        <v>361</v>
      </c>
      <c r="C167" s="120" t="s">
        <v>119</v>
      </c>
      <c r="D167" s="120" t="s">
        <v>322</v>
      </c>
      <c r="E167" s="120" t="s">
        <v>1609</v>
      </c>
      <c r="F167" s="121">
        <v>2016</v>
      </c>
      <c r="G167" s="120" t="s">
        <v>1593</v>
      </c>
      <c r="H167" s="120" t="s">
        <v>1611</v>
      </c>
      <c r="I167" s="120"/>
      <c r="J167" s="130">
        <v>354.52972088637057</v>
      </c>
      <c r="K167" s="131" t="s">
        <v>71</v>
      </c>
    </row>
    <row r="168" spans="1:11">
      <c r="A168" s="120" t="s">
        <v>380</v>
      </c>
      <c r="B168" s="120" t="s">
        <v>381</v>
      </c>
      <c r="C168" s="120" t="s">
        <v>119</v>
      </c>
      <c r="D168" s="120" t="s">
        <v>319</v>
      </c>
      <c r="E168" s="120" t="s">
        <v>1609</v>
      </c>
      <c r="F168" s="121">
        <v>2016</v>
      </c>
      <c r="G168" s="120" t="s">
        <v>1593</v>
      </c>
      <c r="H168" s="120" t="s">
        <v>1611</v>
      </c>
      <c r="I168" s="120"/>
      <c r="J168" s="130">
        <v>1595.5186671058341</v>
      </c>
      <c r="K168" s="131" t="s">
        <v>71</v>
      </c>
    </row>
    <row r="169" spans="1:11">
      <c r="A169" s="120" t="s">
        <v>378</v>
      </c>
      <c r="B169" s="120" t="s">
        <v>379</v>
      </c>
      <c r="C169" s="120" t="s">
        <v>120</v>
      </c>
      <c r="D169" s="120" t="s">
        <v>121</v>
      </c>
      <c r="E169" s="120" t="s">
        <v>1609</v>
      </c>
      <c r="F169" s="121">
        <v>2016</v>
      </c>
      <c r="G169" s="120" t="s">
        <v>1593</v>
      </c>
      <c r="H169" s="120" t="s">
        <v>1611</v>
      </c>
      <c r="I169" s="120"/>
      <c r="J169" s="130">
        <v>878.18840366104075</v>
      </c>
      <c r="K169" s="131" t="s">
        <v>71</v>
      </c>
    </row>
    <row r="170" spans="1:11">
      <c r="A170" s="120" t="s">
        <v>630</v>
      </c>
      <c r="B170" s="120" t="s">
        <v>631</v>
      </c>
      <c r="C170" s="120" t="s">
        <v>115</v>
      </c>
      <c r="D170" s="120" t="s">
        <v>121</v>
      </c>
      <c r="E170" s="120" t="s">
        <v>1609</v>
      </c>
      <c r="F170" s="121">
        <v>2016</v>
      </c>
      <c r="G170" s="120" t="s">
        <v>1593</v>
      </c>
      <c r="H170" s="120" t="s">
        <v>1611</v>
      </c>
      <c r="I170" s="120"/>
      <c r="J170" s="130">
        <v>7161.2269862363119</v>
      </c>
      <c r="K170" s="131" t="s">
        <v>71</v>
      </c>
    </row>
    <row r="171" spans="1:11">
      <c r="A171" s="120" t="s">
        <v>384</v>
      </c>
      <c r="B171" s="120" t="s">
        <v>385</v>
      </c>
      <c r="C171" s="120" t="s">
        <v>116</v>
      </c>
      <c r="D171" s="120" t="s">
        <v>121</v>
      </c>
      <c r="E171" s="120" t="s">
        <v>1609</v>
      </c>
      <c r="F171" s="121">
        <v>2016</v>
      </c>
      <c r="G171" s="120" t="s">
        <v>1593</v>
      </c>
      <c r="H171" s="120" t="s">
        <v>1611</v>
      </c>
      <c r="I171" s="120"/>
      <c r="J171" s="130">
        <v>1607.0503736796629</v>
      </c>
      <c r="K171" s="131" t="s">
        <v>71</v>
      </c>
    </row>
    <row r="172" spans="1:11">
      <c r="A172" s="120" t="s">
        <v>386</v>
      </c>
      <c r="B172" s="120" t="s">
        <v>387</v>
      </c>
      <c r="C172" s="120" t="s">
        <v>114</v>
      </c>
      <c r="D172" s="120" t="s">
        <v>322</v>
      </c>
      <c r="E172" s="120" t="s">
        <v>1609</v>
      </c>
      <c r="F172" s="121">
        <v>2016</v>
      </c>
      <c r="G172" s="120" t="s">
        <v>1593</v>
      </c>
      <c r="H172" s="120" t="s">
        <v>1611</v>
      </c>
      <c r="I172" s="120"/>
      <c r="J172" s="130">
        <v>1625.4350389911554</v>
      </c>
      <c r="K172" s="131" t="s">
        <v>71</v>
      </c>
    </row>
    <row r="173" spans="1:11">
      <c r="A173" s="120" t="s">
        <v>744</v>
      </c>
      <c r="B173" s="120" t="s">
        <v>399</v>
      </c>
      <c r="C173" s="120" t="s">
        <v>119</v>
      </c>
      <c r="D173" s="120" t="s">
        <v>325</v>
      </c>
      <c r="E173" s="120" t="s">
        <v>1609</v>
      </c>
      <c r="F173" s="121">
        <v>2016</v>
      </c>
      <c r="G173" s="120" t="s">
        <v>1593</v>
      </c>
      <c r="H173" s="120" t="s">
        <v>1611</v>
      </c>
      <c r="I173" s="120"/>
      <c r="J173" s="130">
        <v>1762.0982319479122</v>
      </c>
      <c r="K173" s="131" t="s">
        <v>71</v>
      </c>
    </row>
    <row r="174" spans="1:11">
      <c r="A174" s="120" t="s">
        <v>376</v>
      </c>
      <c r="B174" s="120" t="s">
        <v>377</v>
      </c>
      <c r="C174" s="120" t="s">
        <v>119</v>
      </c>
      <c r="D174" s="120" t="s">
        <v>325</v>
      </c>
      <c r="E174" s="120" t="s">
        <v>1609</v>
      </c>
      <c r="F174" s="121">
        <v>2016</v>
      </c>
      <c r="G174" s="120" t="s">
        <v>1593</v>
      </c>
      <c r="H174" s="120" t="s">
        <v>1611</v>
      </c>
      <c r="I174" s="120"/>
      <c r="J174" s="130">
        <v>2060.6318287789595</v>
      </c>
      <c r="K174" s="131" t="s">
        <v>71</v>
      </c>
    </row>
    <row r="175" spans="1:11">
      <c r="A175" s="120" t="s">
        <v>388</v>
      </c>
      <c r="B175" s="120" t="s">
        <v>389</v>
      </c>
      <c r="C175" s="120" t="s">
        <v>116</v>
      </c>
      <c r="D175" s="120" t="s">
        <v>322</v>
      </c>
      <c r="E175" s="120" t="s">
        <v>1609</v>
      </c>
      <c r="F175" s="121">
        <v>2016</v>
      </c>
      <c r="G175" s="120" t="s">
        <v>1593</v>
      </c>
      <c r="H175" s="120" t="s">
        <v>1611</v>
      </c>
      <c r="I175" s="120"/>
      <c r="J175" s="130">
        <v>3687.960295339069</v>
      </c>
      <c r="K175" s="131" t="s">
        <v>71</v>
      </c>
    </row>
    <row r="176" spans="1:11">
      <c r="A176" s="120" t="s">
        <v>396</v>
      </c>
      <c r="B176" s="120" t="s">
        <v>397</v>
      </c>
      <c r="C176" s="120" t="s">
        <v>116</v>
      </c>
      <c r="D176" s="120" t="s">
        <v>322</v>
      </c>
      <c r="E176" s="120" t="s">
        <v>1609</v>
      </c>
      <c r="F176" s="121">
        <v>2016</v>
      </c>
      <c r="G176" s="120" t="s">
        <v>1593</v>
      </c>
      <c r="H176" s="120" t="s">
        <v>1611</v>
      </c>
      <c r="I176" s="120"/>
      <c r="J176" s="130">
        <v>4973.776886166027</v>
      </c>
      <c r="K176" s="131" t="s">
        <v>71</v>
      </c>
    </row>
    <row r="177" spans="1:11">
      <c r="A177" s="120" t="s">
        <v>400</v>
      </c>
      <c r="B177" s="120" t="s">
        <v>401</v>
      </c>
      <c r="C177" s="120" t="s">
        <v>116</v>
      </c>
      <c r="D177" s="120" t="s">
        <v>322</v>
      </c>
      <c r="E177" s="120" t="s">
        <v>1609</v>
      </c>
      <c r="F177" s="121">
        <v>2016</v>
      </c>
      <c r="G177" s="120" t="s">
        <v>1593</v>
      </c>
      <c r="H177" s="120" t="s">
        <v>1611</v>
      </c>
      <c r="I177" s="120"/>
      <c r="J177" s="130">
        <v>1213.4501234540373</v>
      </c>
      <c r="K177" s="131" t="s">
        <v>71</v>
      </c>
    </row>
    <row r="178" spans="1:11">
      <c r="A178" s="120" t="s">
        <v>402</v>
      </c>
      <c r="B178" s="120" t="s">
        <v>403</v>
      </c>
      <c r="C178" s="120" t="s">
        <v>115</v>
      </c>
      <c r="D178" s="120" t="s">
        <v>121</v>
      </c>
      <c r="E178" s="120" t="s">
        <v>1609</v>
      </c>
      <c r="F178" s="121">
        <v>2016</v>
      </c>
      <c r="G178" s="120" t="s">
        <v>1593</v>
      </c>
      <c r="H178" s="120" t="s">
        <v>1611</v>
      </c>
      <c r="I178" s="120"/>
      <c r="J178" s="130">
        <v>1129.3701628511928</v>
      </c>
      <c r="K178" s="131" t="s">
        <v>71</v>
      </c>
    </row>
    <row r="179" spans="1:11">
      <c r="A179" s="120" t="s">
        <v>436</v>
      </c>
      <c r="B179" s="120" t="s">
        <v>437</v>
      </c>
      <c r="C179" s="120" t="s">
        <v>115</v>
      </c>
      <c r="D179" s="120" t="s">
        <v>121</v>
      </c>
      <c r="E179" s="120" t="s">
        <v>1609</v>
      </c>
      <c r="F179" s="121">
        <v>2016</v>
      </c>
      <c r="G179" s="120" t="s">
        <v>1593</v>
      </c>
      <c r="H179" s="120" t="s">
        <v>1611</v>
      </c>
      <c r="I179" s="120"/>
      <c r="J179" s="130">
        <v>2228.4863585692656</v>
      </c>
      <c r="K179" s="131" t="s">
        <v>71</v>
      </c>
    </row>
    <row r="180" spans="1:11">
      <c r="A180" s="120" t="s">
        <v>408</v>
      </c>
      <c r="B180" s="120" t="s">
        <v>409</v>
      </c>
      <c r="C180" s="120" t="s">
        <v>117</v>
      </c>
      <c r="D180" s="120" t="s">
        <v>325</v>
      </c>
      <c r="E180" s="120" t="s">
        <v>1609</v>
      </c>
      <c r="F180" s="121">
        <v>2016</v>
      </c>
      <c r="G180" s="120" t="s">
        <v>1593</v>
      </c>
      <c r="H180" s="120" t="s">
        <v>1611</v>
      </c>
      <c r="I180" s="120"/>
      <c r="J180" s="130">
        <v>395.05393607228905</v>
      </c>
      <c r="K180" s="131" t="s">
        <v>71</v>
      </c>
    </row>
    <row r="181" spans="1:11">
      <c r="A181" s="120" t="s">
        <v>406</v>
      </c>
      <c r="B181" s="120" t="s">
        <v>407</v>
      </c>
      <c r="C181" s="120" t="s">
        <v>115</v>
      </c>
      <c r="D181" s="120" t="s">
        <v>121</v>
      </c>
      <c r="E181" s="120" t="s">
        <v>1609</v>
      </c>
      <c r="F181" s="121">
        <v>2016</v>
      </c>
      <c r="G181" s="120" t="s">
        <v>1593</v>
      </c>
      <c r="H181" s="120" t="s">
        <v>1611</v>
      </c>
      <c r="I181" s="120"/>
      <c r="J181" s="130">
        <v>1060.8429235313856</v>
      </c>
      <c r="K181" s="131" t="s">
        <v>71</v>
      </c>
    </row>
    <row r="182" spans="1:11">
      <c r="A182" s="120" t="s">
        <v>412</v>
      </c>
      <c r="B182" s="120" t="s">
        <v>413</v>
      </c>
      <c r="C182" s="120" t="s">
        <v>116</v>
      </c>
      <c r="D182" s="120" t="s">
        <v>322</v>
      </c>
      <c r="E182" s="120" t="s">
        <v>1609</v>
      </c>
      <c r="F182" s="121">
        <v>2016</v>
      </c>
      <c r="G182" s="120" t="s">
        <v>1593</v>
      </c>
      <c r="H182" s="120" t="s">
        <v>1611</v>
      </c>
      <c r="I182" s="120"/>
      <c r="J182" s="130">
        <v>2453.1684500028632</v>
      </c>
      <c r="K182" s="131" t="s">
        <v>71</v>
      </c>
    </row>
    <row r="183" spans="1:11">
      <c r="A183" s="120" t="s">
        <v>323</v>
      </c>
      <c r="B183" s="120" t="s">
        <v>324</v>
      </c>
      <c r="C183" s="120" t="s">
        <v>117</v>
      </c>
      <c r="D183" s="120" t="s">
        <v>325</v>
      </c>
      <c r="E183" s="120" t="s">
        <v>1609</v>
      </c>
      <c r="F183" s="121">
        <v>2016</v>
      </c>
      <c r="G183" s="120" t="s">
        <v>1593</v>
      </c>
      <c r="H183" s="120" t="s">
        <v>1611</v>
      </c>
      <c r="I183" s="120"/>
      <c r="J183" s="130">
        <v>709.51399001941468</v>
      </c>
      <c r="K183" s="131" t="s">
        <v>71</v>
      </c>
    </row>
    <row r="184" spans="1:11">
      <c r="A184" s="120" t="s">
        <v>414</v>
      </c>
      <c r="B184" s="120" t="s">
        <v>415</v>
      </c>
      <c r="C184" s="120" t="s">
        <v>116</v>
      </c>
      <c r="D184" s="120" t="s">
        <v>322</v>
      </c>
      <c r="E184" s="120" t="s">
        <v>1609</v>
      </c>
      <c r="F184" s="121">
        <v>2016</v>
      </c>
      <c r="G184" s="120" t="s">
        <v>1593</v>
      </c>
      <c r="H184" s="120" t="s">
        <v>1611</v>
      </c>
      <c r="I184" s="120"/>
      <c r="J184" s="130">
        <v>4342.8811724077423</v>
      </c>
      <c r="K184" s="131" t="s">
        <v>71</v>
      </c>
    </row>
    <row r="185" spans="1:11">
      <c r="A185" s="120" t="s">
        <v>696</v>
      </c>
      <c r="B185" s="120" t="s">
        <v>697</v>
      </c>
      <c r="C185" s="120" t="s">
        <v>119</v>
      </c>
      <c r="D185" s="120" t="s">
        <v>319</v>
      </c>
      <c r="E185" s="120" t="s">
        <v>1609</v>
      </c>
      <c r="F185" s="121">
        <v>2016</v>
      </c>
      <c r="G185" s="120" t="s">
        <v>1593</v>
      </c>
      <c r="H185" s="120" t="s">
        <v>1611</v>
      </c>
      <c r="I185" s="120"/>
      <c r="J185" s="130">
        <v>334.97277445328774</v>
      </c>
      <c r="K185" s="131" t="s">
        <v>71</v>
      </c>
    </row>
    <row r="186" spans="1:11">
      <c r="A186" s="120" t="s">
        <v>612</v>
      </c>
      <c r="B186" s="120" t="s">
        <v>613</v>
      </c>
      <c r="C186" s="120" t="s">
        <v>115</v>
      </c>
      <c r="D186" s="120" t="s">
        <v>121</v>
      </c>
      <c r="E186" s="120" t="s">
        <v>1609</v>
      </c>
      <c r="F186" s="121">
        <v>2016</v>
      </c>
      <c r="G186" s="120" t="s">
        <v>1593</v>
      </c>
      <c r="H186" s="120" t="s">
        <v>1611</v>
      </c>
      <c r="I186" s="120"/>
      <c r="J186" s="130">
        <v>1079.4134521710282</v>
      </c>
      <c r="K186" s="131" t="s">
        <v>71</v>
      </c>
    </row>
    <row r="187" spans="1:11">
      <c r="A187" s="120" t="s">
        <v>424</v>
      </c>
      <c r="B187" s="120" t="s">
        <v>425</v>
      </c>
      <c r="C187" s="120" t="s">
        <v>119</v>
      </c>
      <c r="D187" s="120" t="s">
        <v>319</v>
      </c>
      <c r="E187" s="120" t="s">
        <v>1609</v>
      </c>
      <c r="F187" s="121">
        <v>2016</v>
      </c>
      <c r="G187" s="120" t="s">
        <v>1593</v>
      </c>
      <c r="H187" s="120" t="s">
        <v>1611</v>
      </c>
      <c r="I187" s="120"/>
      <c r="J187" s="130">
        <v>799.19844496368307</v>
      </c>
      <c r="K187" s="131" t="s">
        <v>71</v>
      </c>
    </row>
    <row r="188" spans="1:11">
      <c r="A188" s="120" t="s">
        <v>55</v>
      </c>
      <c r="B188" s="120" t="s">
        <v>56</v>
      </c>
      <c r="C188" s="120" t="s">
        <v>115</v>
      </c>
      <c r="D188" s="120" t="s">
        <v>121</v>
      </c>
      <c r="E188" s="120" t="s">
        <v>1609</v>
      </c>
      <c r="F188" s="121">
        <v>2016</v>
      </c>
      <c r="G188" s="120" t="s">
        <v>1593</v>
      </c>
      <c r="H188" s="120" t="s">
        <v>1611</v>
      </c>
      <c r="I188" s="120"/>
      <c r="J188" s="130">
        <v>4108.7704132208046</v>
      </c>
      <c r="K188" s="131" t="s">
        <v>71</v>
      </c>
    </row>
    <row r="189" spans="1:11">
      <c r="A189" s="120" t="s">
        <v>434</v>
      </c>
      <c r="B189" s="120" t="s">
        <v>435</v>
      </c>
      <c r="C189" s="120" t="s">
        <v>115</v>
      </c>
      <c r="D189" s="120" t="s">
        <v>322</v>
      </c>
      <c r="E189" s="120" t="s">
        <v>1609</v>
      </c>
      <c r="F189" s="121">
        <v>2016</v>
      </c>
      <c r="G189" s="120" t="s">
        <v>1593</v>
      </c>
      <c r="H189" s="120" t="s">
        <v>1611</v>
      </c>
      <c r="I189" s="120"/>
      <c r="J189" s="130">
        <v>1012.8902884251023</v>
      </c>
      <c r="K189" s="131" t="s">
        <v>71</v>
      </c>
    </row>
    <row r="190" spans="1:11">
      <c r="A190" s="120" t="s">
        <v>438</v>
      </c>
      <c r="B190" s="120" t="s">
        <v>439</v>
      </c>
      <c r="C190" s="120" t="s">
        <v>119</v>
      </c>
      <c r="D190" s="120" t="s">
        <v>325</v>
      </c>
      <c r="E190" s="120" t="s">
        <v>1609</v>
      </c>
      <c r="F190" s="121">
        <v>2016</v>
      </c>
      <c r="G190" s="120" t="s">
        <v>1593</v>
      </c>
      <c r="H190" s="120" t="s">
        <v>1611</v>
      </c>
      <c r="I190" s="120"/>
      <c r="J190" s="130">
        <v>1419.3928972040276</v>
      </c>
      <c r="K190" s="131" t="s">
        <v>71</v>
      </c>
    </row>
    <row r="191" spans="1:11">
      <c r="A191" s="120" t="s">
        <v>446</v>
      </c>
      <c r="B191" s="120" t="s">
        <v>447</v>
      </c>
      <c r="C191" s="120" t="s">
        <v>119</v>
      </c>
      <c r="D191" s="120" t="s">
        <v>325</v>
      </c>
      <c r="E191" s="120" t="s">
        <v>1609</v>
      </c>
      <c r="F191" s="121">
        <v>2016</v>
      </c>
      <c r="G191" s="120" t="s">
        <v>1593</v>
      </c>
      <c r="H191" s="120" t="s">
        <v>1611</v>
      </c>
      <c r="I191" s="120"/>
      <c r="J191" s="130">
        <v>2430.8874210880549</v>
      </c>
      <c r="K191" s="131" t="s">
        <v>71</v>
      </c>
    </row>
    <row r="192" spans="1:11">
      <c r="A192" s="120" t="s">
        <v>448</v>
      </c>
      <c r="B192" s="120" t="s">
        <v>449</v>
      </c>
      <c r="C192" s="120" t="s">
        <v>119</v>
      </c>
      <c r="D192" s="120" t="s">
        <v>319</v>
      </c>
      <c r="E192" s="120" t="s">
        <v>1609</v>
      </c>
      <c r="F192" s="121">
        <v>2016</v>
      </c>
      <c r="G192" s="120" t="s">
        <v>1593</v>
      </c>
      <c r="H192" s="120" t="s">
        <v>1611</v>
      </c>
      <c r="I192" s="120"/>
      <c r="J192" s="130">
        <v>1346.1683922771633</v>
      </c>
      <c r="K192" s="131" t="s">
        <v>71</v>
      </c>
    </row>
    <row r="193" spans="1:11">
      <c r="A193" s="120" t="s">
        <v>440</v>
      </c>
      <c r="B193" s="120" t="s">
        <v>441</v>
      </c>
      <c r="C193" s="120" t="s">
        <v>115</v>
      </c>
      <c r="D193" s="120" t="s">
        <v>121</v>
      </c>
      <c r="E193" s="120" t="s">
        <v>1609</v>
      </c>
      <c r="F193" s="121">
        <v>2016</v>
      </c>
      <c r="G193" s="120" t="s">
        <v>1593</v>
      </c>
      <c r="H193" s="120" t="s">
        <v>1611</v>
      </c>
      <c r="I193" s="120"/>
      <c r="J193" s="130">
        <v>1289.881919659251</v>
      </c>
      <c r="K193" s="131" t="s">
        <v>71</v>
      </c>
    </row>
    <row r="194" spans="1:11">
      <c r="A194" s="120" t="s">
        <v>444</v>
      </c>
      <c r="B194" s="120" t="s">
        <v>445</v>
      </c>
      <c r="C194" s="120" t="s">
        <v>116</v>
      </c>
      <c r="D194" s="120" t="s">
        <v>322</v>
      </c>
      <c r="E194" s="120" t="s">
        <v>1609</v>
      </c>
      <c r="F194" s="121">
        <v>2016</v>
      </c>
      <c r="G194" s="120" t="s">
        <v>1593</v>
      </c>
      <c r="H194" s="120" t="s">
        <v>1611</v>
      </c>
      <c r="I194" s="120"/>
      <c r="J194" s="130">
        <v>3709.0926191279104</v>
      </c>
      <c r="K194" s="131" t="s">
        <v>71</v>
      </c>
    </row>
    <row r="195" spans="1:11">
      <c r="A195" s="120" t="s">
        <v>450</v>
      </c>
      <c r="B195" s="120" t="s">
        <v>451</v>
      </c>
      <c r="C195" s="120" t="s">
        <v>116</v>
      </c>
      <c r="D195" s="120" t="s">
        <v>121</v>
      </c>
      <c r="E195" s="120" t="s">
        <v>1609</v>
      </c>
      <c r="F195" s="121">
        <v>2016</v>
      </c>
      <c r="G195" s="120" t="s">
        <v>1593</v>
      </c>
      <c r="H195" s="120" t="s">
        <v>1611</v>
      </c>
      <c r="I195" s="120"/>
      <c r="J195" s="130">
        <v>2568.4703603086846</v>
      </c>
      <c r="K195" s="131" t="s">
        <v>71</v>
      </c>
    </row>
    <row r="196" spans="1:11">
      <c r="A196" s="120" t="s">
        <v>454</v>
      </c>
      <c r="B196" s="120" t="s">
        <v>455</v>
      </c>
      <c r="C196" s="120" t="s">
        <v>116</v>
      </c>
      <c r="D196" s="120" t="s">
        <v>325</v>
      </c>
      <c r="E196" s="120" t="s">
        <v>1609</v>
      </c>
      <c r="F196" s="121">
        <v>2016</v>
      </c>
      <c r="G196" s="120" t="s">
        <v>1593</v>
      </c>
      <c r="H196" s="120" t="s">
        <v>1611</v>
      </c>
      <c r="I196" s="120"/>
      <c r="J196" s="130">
        <v>4055.6441261009536</v>
      </c>
      <c r="K196" s="131" t="s">
        <v>71</v>
      </c>
    </row>
    <row r="197" spans="1:11">
      <c r="A197" s="120" t="s">
        <v>452</v>
      </c>
      <c r="B197" s="120" t="s">
        <v>453</v>
      </c>
      <c r="C197" s="120" t="s">
        <v>116</v>
      </c>
      <c r="D197" s="120" t="s">
        <v>325</v>
      </c>
      <c r="E197" s="120" t="s">
        <v>1609</v>
      </c>
      <c r="F197" s="121">
        <v>2016</v>
      </c>
      <c r="G197" s="120" t="s">
        <v>1593</v>
      </c>
      <c r="H197" s="120" t="s">
        <v>1611</v>
      </c>
      <c r="I197" s="120"/>
      <c r="J197" s="130">
        <v>3531.8871986830982</v>
      </c>
      <c r="K197" s="131" t="s">
        <v>71</v>
      </c>
    </row>
    <row r="198" spans="1:11">
      <c r="A198" s="120" t="s">
        <v>462</v>
      </c>
      <c r="B198" s="120" t="s">
        <v>463</v>
      </c>
      <c r="C198" s="120" t="s">
        <v>118</v>
      </c>
      <c r="D198" s="120" t="s">
        <v>325</v>
      </c>
      <c r="E198" s="120" t="s">
        <v>1609</v>
      </c>
      <c r="F198" s="121">
        <v>2016</v>
      </c>
      <c r="G198" s="120" t="s">
        <v>1593</v>
      </c>
      <c r="H198" s="120" t="s">
        <v>1611</v>
      </c>
      <c r="I198" s="120"/>
      <c r="J198" s="130">
        <v>1170.1102928931596</v>
      </c>
      <c r="K198" s="131" t="s">
        <v>71</v>
      </c>
    </row>
    <row r="199" spans="1:11">
      <c r="A199" s="120" t="s">
        <v>468</v>
      </c>
      <c r="B199" s="120" t="s">
        <v>469</v>
      </c>
      <c r="C199" s="120" t="s">
        <v>117</v>
      </c>
      <c r="D199" s="120" t="s">
        <v>322</v>
      </c>
      <c r="E199" s="120" t="s">
        <v>1609</v>
      </c>
      <c r="F199" s="121">
        <v>2016</v>
      </c>
      <c r="G199" s="120" t="s">
        <v>1593</v>
      </c>
      <c r="H199" s="120" t="s">
        <v>1611</v>
      </c>
      <c r="I199" s="120"/>
      <c r="J199" s="130">
        <v>58.050430319176449</v>
      </c>
      <c r="K199" s="131" t="s">
        <v>71</v>
      </c>
    </row>
    <row r="200" spans="1:11">
      <c r="A200" s="120" t="s">
        <v>472</v>
      </c>
      <c r="B200" s="120" t="s">
        <v>473</v>
      </c>
      <c r="C200" s="120" t="s">
        <v>117</v>
      </c>
      <c r="D200" s="120" t="s">
        <v>121</v>
      </c>
      <c r="E200" s="120" t="s">
        <v>1609</v>
      </c>
      <c r="F200" s="121">
        <v>2016</v>
      </c>
      <c r="G200" s="120" t="s">
        <v>1593</v>
      </c>
      <c r="H200" s="120" t="s">
        <v>1611</v>
      </c>
      <c r="I200" s="120"/>
      <c r="J200" s="130">
        <v>430.42544043710245</v>
      </c>
      <c r="K200" s="131" t="s">
        <v>71</v>
      </c>
    </row>
    <row r="201" spans="1:11">
      <c r="A201" s="120" t="s">
        <v>474</v>
      </c>
      <c r="B201" s="120" t="s">
        <v>475</v>
      </c>
      <c r="C201" s="120" t="s">
        <v>115</v>
      </c>
      <c r="D201" s="120" t="s">
        <v>121</v>
      </c>
      <c r="E201" s="120" t="s">
        <v>1609</v>
      </c>
      <c r="F201" s="121">
        <v>2016</v>
      </c>
      <c r="G201" s="120" t="s">
        <v>1593</v>
      </c>
      <c r="H201" s="120" t="s">
        <v>1611</v>
      </c>
      <c r="I201" s="120"/>
      <c r="J201" s="130">
        <v>1584.0051145261136</v>
      </c>
      <c r="K201" s="131" t="s">
        <v>71</v>
      </c>
    </row>
    <row r="202" spans="1:11">
      <c r="A202" s="120" t="s">
        <v>476</v>
      </c>
      <c r="B202" s="120" t="s">
        <v>477</v>
      </c>
      <c r="C202" s="120" t="s">
        <v>116</v>
      </c>
      <c r="D202" s="120" t="s">
        <v>322</v>
      </c>
      <c r="E202" s="120" t="s">
        <v>1609</v>
      </c>
      <c r="F202" s="121">
        <v>2016</v>
      </c>
      <c r="G202" s="120" t="s">
        <v>1593</v>
      </c>
      <c r="H202" s="120" t="s">
        <v>1611</v>
      </c>
      <c r="I202" s="120"/>
      <c r="J202" s="130">
        <v>2359.0079397545383</v>
      </c>
      <c r="K202" s="131" t="s">
        <v>71</v>
      </c>
    </row>
    <row r="203" spans="1:11">
      <c r="A203" s="120" t="s">
        <v>480</v>
      </c>
      <c r="B203" s="120" t="s">
        <v>481</v>
      </c>
      <c r="C203" s="120" t="s">
        <v>117</v>
      </c>
      <c r="D203" s="120" t="s">
        <v>325</v>
      </c>
      <c r="E203" s="120" t="s">
        <v>1609</v>
      </c>
      <c r="F203" s="121">
        <v>2016</v>
      </c>
      <c r="G203" s="120" t="s">
        <v>1593</v>
      </c>
      <c r="H203" s="120" t="s">
        <v>1611</v>
      </c>
      <c r="I203" s="120"/>
      <c r="J203" s="130">
        <v>172.69071146878576</v>
      </c>
      <c r="K203" s="131" t="s">
        <v>71</v>
      </c>
    </row>
    <row r="204" spans="1:11">
      <c r="A204" s="120" t="s">
        <v>478</v>
      </c>
      <c r="B204" s="120" t="s">
        <v>479</v>
      </c>
      <c r="C204" s="120" t="s">
        <v>114</v>
      </c>
      <c r="D204" s="120" t="s">
        <v>121</v>
      </c>
      <c r="E204" s="120" t="s">
        <v>1609</v>
      </c>
      <c r="F204" s="121">
        <v>2016</v>
      </c>
      <c r="G204" s="120" t="s">
        <v>1593</v>
      </c>
      <c r="H204" s="120" t="s">
        <v>1611</v>
      </c>
      <c r="I204" s="120"/>
      <c r="J204" s="130">
        <v>1657.9272655372538</v>
      </c>
      <c r="K204" s="131" t="s">
        <v>71</v>
      </c>
    </row>
    <row r="205" spans="1:11">
      <c r="A205" s="120" t="s">
        <v>482</v>
      </c>
      <c r="B205" s="120" t="s">
        <v>483</v>
      </c>
      <c r="C205" s="120" t="s">
        <v>115</v>
      </c>
      <c r="D205" s="120" t="s">
        <v>322</v>
      </c>
      <c r="E205" s="120" t="s">
        <v>1609</v>
      </c>
      <c r="F205" s="121">
        <v>2016</v>
      </c>
      <c r="G205" s="120" t="s">
        <v>1593</v>
      </c>
      <c r="H205" s="120" t="s">
        <v>1611</v>
      </c>
      <c r="I205" s="120"/>
      <c r="J205" s="130">
        <v>144.89436349209464</v>
      </c>
      <c r="K205" s="131" t="s">
        <v>71</v>
      </c>
    </row>
    <row r="206" spans="1:11">
      <c r="A206" s="120" t="s">
        <v>484</v>
      </c>
      <c r="B206" s="120" t="s">
        <v>485</v>
      </c>
      <c r="C206" s="120" t="s">
        <v>119</v>
      </c>
      <c r="D206" s="120" t="s">
        <v>325</v>
      </c>
      <c r="E206" s="120" t="s">
        <v>1609</v>
      </c>
      <c r="F206" s="121">
        <v>2016</v>
      </c>
      <c r="G206" s="120" t="s">
        <v>1593</v>
      </c>
      <c r="H206" s="120" t="s">
        <v>1611</v>
      </c>
      <c r="I206" s="120"/>
      <c r="J206" s="130">
        <v>228.40854244248644</v>
      </c>
      <c r="K206" s="131" t="s">
        <v>71</v>
      </c>
    </row>
    <row r="207" spans="1:11">
      <c r="A207" s="120" t="s">
        <v>374</v>
      </c>
      <c r="B207" s="120" t="s">
        <v>375</v>
      </c>
      <c r="C207" s="120" t="s">
        <v>114</v>
      </c>
      <c r="D207" s="120" t="s">
        <v>325</v>
      </c>
      <c r="E207" s="120" t="s">
        <v>1609</v>
      </c>
      <c r="F207" s="121">
        <v>2016</v>
      </c>
      <c r="G207" s="120" t="s">
        <v>1593</v>
      </c>
      <c r="H207" s="120" t="s">
        <v>1611</v>
      </c>
      <c r="I207" s="120"/>
      <c r="J207" s="130">
        <v>1537.3259779178904</v>
      </c>
      <c r="K207" s="131" t="s">
        <v>71</v>
      </c>
    </row>
    <row r="208" spans="1:11">
      <c r="A208" s="120" t="s">
        <v>700</v>
      </c>
      <c r="B208" s="120" t="s">
        <v>701</v>
      </c>
      <c r="C208" s="120" t="s">
        <v>117</v>
      </c>
      <c r="D208" s="120" t="s">
        <v>121</v>
      </c>
      <c r="E208" s="120" t="s">
        <v>1609</v>
      </c>
      <c r="F208" s="121">
        <v>2016</v>
      </c>
      <c r="G208" s="120" t="s">
        <v>1593</v>
      </c>
      <c r="H208" s="120" t="s">
        <v>1611</v>
      </c>
      <c r="I208" s="120"/>
      <c r="J208" s="130">
        <v>111.95421999823667</v>
      </c>
      <c r="K208" s="131" t="s">
        <v>71</v>
      </c>
    </row>
    <row r="209" spans="1:11">
      <c r="A209" s="120" t="s">
        <v>496</v>
      </c>
      <c r="B209" s="120" t="s">
        <v>497</v>
      </c>
      <c r="C209" s="120" t="s">
        <v>117</v>
      </c>
      <c r="D209" s="120" t="s">
        <v>325</v>
      </c>
      <c r="E209" s="120" t="s">
        <v>1609</v>
      </c>
      <c r="F209" s="121">
        <v>2016</v>
      </c>
      <c r="G209" s="120" t="s">
        <v>1593</v>
      </c>
      <c r="H209" s="120" t="s">
        <v>1611</v>
      </c>
      <c r="I209" s="120"/>
      <c r="J209" s="130">
        <v>1152.0550691142296</v>
      </c>
      <c r="K209" s="131" t="s">
        <v>71</v>
      </c>
    </row>
    <row r="210" spans="1:11">
      <c r="A210" s="120" t="s">
        <v>500</v>
      </c>
      <c r="B210" s="120" t="s">
        <v>501</v>
      </c>
      <c r="C210" s="120" t="s">
        <v>119</v>
      </c>
      <c r="D210" s="120" t="s">
        <v>319</v>
      </c>
      <c r="E210" s="120" t="s">
        <v>1609</v>
      </c>
      <c r="F210" s="121">
        <v>2016</v>
      </c>
      <c r="G210" s="120" t="s">
        <v>1593</v>
      </c>
      <c r="H210" s="120" t="s">
        <v>1611</v>
      </c>
      <c r="I210" s="120"/>
      <c r="J210" s="130">
        <v>2637.4436017295757</v>
      </c>
      <c r="K210" s="131" t="s">
        <v>71</v>
      </c>
    </row>
    <row r="211" spans="1:11">
      <c r="A211" s="120" t="s">
        <v>702</v>
      </c>
      <c r="B211" s="120" t="s">
        <v>703</v>
      </c>
      <c r="C211" s="120" t="s">
        <v>117</v>
      </c>
      <c r="D211" s="120" t="s">
        <v>322</v>
      </c>
      <c r="E211" s="120" t="s">
        <v>1609</v>
      </c>
      <c r="F211" s="121">
        <v>2016</v>
      </c>
      <c r="G211" s="120" t="s">
        <v>1593</v>
      </c>
      <c r="H211" s="120" t="s">
        <v>1611</v>
      </c>
      <c r="I211" s="120"/>
      <c r="J211" s="130">
        <v>454.31227131390023</v>
      </c>
      <c r="K211" s="131" t="s">
        <v>71</v>
      </c>
    </row>
    <row r="212" spans="1:11">
      <c r="A212" s="120" t="s">
        <v>614</v>
      </c>
      <c r="B212" s="120" t="s">
        <v>615</v>
      </c>
      <c r="C212" s="120" t="s">
        <v>118</v>
      </c>
      <c r="D212" s="120" t="s">
        <v>325</v>
      </c>
      <c r="E212" s="120" t="s">
        <v>1609</v>
      </c>
      <c r="F212" s="121">
        <v>2016</v>
      </c>
      <c r="G212" s="120" t="s">
        <v>1593</v>
      </c>
      <c r="H212" s="120" t="s">
        <v>1611</v>
      </c>
      <c r="I212" s="120"/>
      <c r="J212" s="130">
        <v>2391.7541290404756</v>
      </c>
      <c r="K212" s="131" t="s">
        <v>71</v>
      </c>
    </row>
    <row r="213" spans="1:11">
      <c r="A213" s="120" t="s">
        <v>498</v>
      </c>
      <c r="B213" s="120" t="s">
        <v>499</v>
      </c>
      <c r="C213" s="120" t="s">
        <v>119</v>
      </c>
      <c r="D213" s="120" t="s">
        <v>325</v>
      </c>
      <c r="E213" s="120" t="s">
        <v>1609</v>
      </c>
      <c r="F213" s="121">
        <v>2016</v>
      </c>
      <c r="G213" s="120" t="s">
        <v>1593</v>
      </c>
      <c r="H213" s="120" t="s">
        <v>1611</v>
      </c>
      <c r="I213" s="120"/>
      <c r="J213" s="130">
        <v>569.80182139637498</v>
      </c>
      <c r="K213" s="131" t="s">
        <v>71</v>
      </c>
    </row>
    <row r="214" spans="1:11">
      <c r="A214" s="120" t="s">
        <v>504</v>
      </c>
      <c r="B214" s="120" t="s">
        <v>505</v>
      </c>
      <c r="C214" s="120" t="s">
        <v>115</v>
      </c>
      <c r="D214" s="120" t="s">
        <v>121</v>
      </c>
      <c r="E214" s="120" t="s">
        <v>1609</v>
      </c>
      <c r="F214" s="121">
        <v>2016</v>
      </c>
      <c r="G214" s="120" t="s">
        <v>1593</v>
      </c>
      <c r="H214" s="120" t="s">
        <v>1611</v>
      </c>
      <c r="I214" s="120"/>
      <c r="J214" s="130">
        <v>2025.746832818106</v>
      </c>
      <c r="K214" s="131" t="s">
        <v>71</v>
      </c>
    </row>
    <row r="215" spans="1:11">
      <c r="A215" s="120" t="s">
        <v>536</v>
      </c>
      <c r="B215" s="120" t="s">
        <v>537</v>
      </c>
      <c r="C215" s="120" t="s">
        <v>117</v>
      </c>
      <c r="D215" s="120" t="s">
        <v>325</v>
      </c>
      <c r="E215" s="120" t="s">
        <v>1609</v>
      </c>
      <c r="F215" s="121">
        <v>2016</v>
      </c>
      <c r="G215" s="120" t="s">
        <v>1593</v>
      </c>
      <c r="H215" s="120" t="s">
        <v>1611</v>
      </c>
      <c r="I215" s="120"/>
      <c r="J215" s="130">
        <v>868.85141155510257</v>
      </c>
      <c r="K215" s="131" t="s">
        <v>71</v>
      </c>
    </row>
    <row r="216" spans="1:11">
      <c r="A216" s="120" t="s">
        <v>530</v>
      </c>
      <c r="B216" s="120" t="s">
        <v>531</v>
      </c>
      <c r="C216" s="120" t="s">
        <v>115</v>
      </c>
      <c r="D216" s="120" t="s">
        <v>322</v>
      </c>
      <c r="E216" s="120" t="s">
        <v>1609</v>
      </c>
      <c r="F216" s="121">
        <v>2016</v>
      </c>
      <c r="G216" s="120" t="s">
        <v>1593</v>
      </c>
      <c r="H216" s="120" t="s">
        <v>1611</v>
      </c>
      <c r="I216" s="120"/>
      <c r="J216" s="130">
        <v>972.22010314567467</v>
      </c>
      <c r="K216" s="131" t="s">
        <v>71</v>
      </c>
    </row>
    <row r="217" spans="1:11">
      <c r="A217" s="120" t="s">
        <v>510</v>
      </c>
      <c r="B217" s="120" t="s">
        <v>511</v>
      </c>
      <c r="C217" s="120" t="s">
        <v>119</v>
      </c>
      <c r="D217" s="120" t="s">
        <v>319</v>
      </c>
      <c r="E217" s="120" t="s">
        <v>1609</v>
      </c>
      <c r="F217" s="121">
        <v>2016</v>
      </c>
      <c r="G217" s="120" t="s">
        <v>1593</v>
      </c>
      <c r="H217" s="120" t="s">
        <v>1611</v>
      </c>
      <c r="I217" s="120"/>
      <c r="J217" s="130">
        <v>1749.2242334450852</v>
      </c>
      <c r="K217" s="131" t="s">
        <v>71</v>
      </c>
    </row>
    <row r="218" spans="1:11">
      <c r="A218" s="120" t="s">
        <v>526</v>
      </c>
      <c r="B218" s="120" t="s">
        <v>527</v>
      </c>
      <c r="C218" s="120" t="s">
        <v>116</v>
      </c>
      <c r="D218" s="120" t="s">
        <v>322</v>
      </c>
      <c r="E218" s="120" t="s">
        <v>1609</v>
      </c>
      <c r="F218" s="121">
        <v>2016</v>
      </c>
      <c r="G218" s="120" t="s">
        <v>1593</v>
      </c>
      <c r="H218" s="120" t="s">
        <v>1611</v>
      </c>
      <c r="I218" s="120"/>
      <c r="J218" s="130">
        <v>1528.9430465153464</v>
      </c>
      <c r="K218" s="131" t="s">
        <v>71</v>
      </c>
    </row>
    <row r="219" spans="1:11">
      <c r="A219" s="120" t="s">
        <v>518</v>
      </c>
      <c r="B219" s="120" t="s">
        <v>519</v>
      </c>
      <c r="C219" s="120" t="s">
        <v>119</v>
      </c>
      <c r="D219" s="120" t="s">
        <v>319</v>
      </c>
      <c r="E219" s="120" t="s">
        <v>1609</v>
      </c>
      <c r="F219" s="121">
        <v>2016</v>
      </c>
      <c r="G219" s="120" t="s">
        <v>1593</v>
      </c>
      <c r="H219" s="120" t="s">
        <v>1611</v>
      </c>
      <c r="I219" s="120"/>
      <c r="J219" s="130">
        <v>433.52970278829605</v>
      </c>
      <c r="K219" s="131" t="s">
        <v>71</v>
      </c>
    </row>
    <row r="220" spans="1:11">
      <c r="A220" s="120" t="s">
        <v>540</v>
      </c>
      <c r="B220" s="120" t="s">
        <v>541</v>
      </c>
      <c r="C220" s="120" t="s">
        <v>114</v>
      </c>
      <c r="D220" s="120" t="s">
        <v>325</v>
      </c>
      <c r="E220" s="120" t="s">
        <v>1609</v>
      </c>
      <c r="F220" s="121">
        <v>2016</v>
      </c>
      <c r="G220" s="120" t="s">
        <v>1593</v>
      </c>
      <c r="H220" s="120" t="s">
        <v>1611</v>
      </c>
      <c r="I220" s="120"/>
      <c r="J220" s="130">
        <v>3725.4295097214963</v>
      </c>
      <c r="K220" s="131" t="s">
        <v>71</v>
      </c>
    </row>
    <row r="221" spans="1:11">
      <c r="A221" s="120" t="s">
        <v>534</v>
      </c>
      <c r="B221" s="120" t="s">
        <v>535</v>
      </c>
      <c r="C221" s="120" t="s">
        <v>115</v>
      </c>
      <c r="D221" s="120" t="s">
        <v>322</v>
      </c>
      <c r="E221" s="120" t="s">
        <v>1609</v>
      </c>
      <c r="F221" s="121">
        <v>2016</v>
      </c>
      <c r="G221" s="120" t="s">
        <v>1593</v>
      </c>
      <c r="H221" s="120" t="s">
        <v>1611</v>
      </c>
      <c r="I221" s="120"/>
      <c r="J221" s="130">
        <v>2902.2908271395768</v>
      </c>
      <c r="K221" s="131" t="s">
        <v>71</v>
      </c>
    </row>
    <row r="222" spans="1:11">
      <c r="A222" s="120" t="s">
        <v>532</v>
      </c>
      <c r="B222" s="120" t="s">
        <v>533</v>
      </c>
      <c r="C222" s="120" t="s">
        <v>114</v>
      </c>
      <c r="D222" s="120" t="s">
        <v>325</v>
      </c>
      <c r="E222" s="120" t="s">
        <v>1609</v>
      </c>
      <c r="F222" s="121">
        <v>2016</v>
      </c>
      <c r="G222" s="120" t="s">
        <v>1593</v>
      </c>
      <c r="H222" s="120" t="s">
        <v>1611</v>
      </c>
      <c r="I222" s="120"/>
      <c r="J222" s="130">
        <v>441.3041391018026</v>
      </c>
      <c r="K222" s="131" t="s">
        <v>71</v>
      </c>
    </row>
    <row r="223" spans="1:11">
      <c r="A223" s="120" t="s">
        <v>538</v>
      </c>
      <c r="B223" s="120" t="s">
        <v>539</v>
      </c>
      <c r="C223" s="120" t="s">
        <v>119</v>
      </c>
      <c r="D223" s="120" t="s">
        <v>319</v>
      </c>
      <c r="E223" s="120" t="s">
        <v>1609</v>
      </c>
      <c r="F223" s="121">
        <v>2016</v>
      </c>
      <c r="G223" s="120" t="s">
        <v>1593</v>
      </c>
      <c r="H223" s="120" t="s">
        <v>1611</v>
      </c>
      <c r="I223" s="120"/>
      <c r="J223" s="130">
        <v>1285.8775097811169</v>
      </c>
      <c r="K223" s="131" t="s">
        <v>71</v>
      </c>
    </row>
    <row r="224" spans="1:11">
      <c r="A224" s="120" t="s">
        <v>522</v>
      </c>
      <c r="B224" s="120" t="s">
        <v>523</v>
      </c>
      <c r="C224" s="120" t="s">
        <v>119</v>
      </c>
      <c r="D224" s="120" t="s">
        <v>325</v>
      </c>
      <c r="E224" s="120" t="s">
        <v>1609</v>
      </c>
      <c r="F224" s="121">
        <v>2016</v>
      </c>
      <c r="G224" s="120" t="s">
        <v>1593</v>
      </c>
      <c r="H224" s="120" t="s">
        <v>1611</v>
      </c>
      <c r="I224" s="120"/>
      <c r="J224" s="130">
        <v>2101.2658012092224</v>
      </c>
      <c r="K224" s="131" t="s">
        <v>71</v>
      </c>
    </row>
    <row r="225" spans="1:11">
      <c r="A225" s="120" t="s">
        <v>512</v>
      </c>
      <c r="B225" s="120" t="s">
        <v>513</v>
      </c>
      <c r="C225" s="120" t="s">
        <v>119</v>
      </c>
      <c r="D225" s="120" t="s">
        <v>319</v>
      </c>
      <c r="E225" s="120" t="s">
        <v>1609</v>
      </c>
      <c r="F225" s="121">
        <v>2016</v>
      </c>
      <c r="G225" s="120" t="s">
        <v>1593</v>
      </c>
      <c r="H225" s="120" t="s">
        <v>1611</v>
      </c>
      <c r="I225" s="120"/>
      <c r="J225" s="130">
        <v>1228.683053502976</v>
      </c>
      <c r="K225" s="131" t="s">
        <v>71</v>
      </c>
    </row>
    <row r="226" spans="1:11">
      <c r="A226" s="120" t="s">
        <v>514</v>
      </c>
      <c r="B226" s="120" t="s">
        <v>515</v>
      </c>
      <c r="C226" s="120" t="s">
        <v>114</v>
      </c>
      <c r="D226" s="120" t="s">
        <v>322</v>
      </c>
      <c r="E226" s="120" t="s">
        <v>1609</v>
      </c>
      <c r="F226" s="121">
        <v>2016</v>
      </c>
      <c r="G226" s="120" t="s">
        <v>1593</v>
      </c>
      <c r="H226" s="120" t="s">
        <v>1611</v>
      </c>
      <c r="I226" s="120"/>
      <c r="J226" s="130">
        <v>4474.3286621613479</v>
      </c>
      <c r="K226" s="131" t="s">
        <v>71</v>
      </c>
    </row>
    <row r="227" spans="1:11">
      <c r="A227" s="120" t="s">
        <v>542</v>
      </c>
      <c r="B227" s="120" t="s">
        <v>543</v>
      </c>
      <c r="C227" s="120" t="s">
        <v>119</v>
      </c>
      <c r="D227" s="120" t="s">
        <v>322</v>
      </c>
      <c r="E227" s="120" t="s">
        <v>1609</v>
      </c>
      <c r="F227" s="121">
        <v>2016</v>
      </c>
      <c r="G227" s="120" t="s">
        <v>1593</v>
      </c>
      <c r="H227" s="120" t="s">
        <v>1611</v>
      </c>
      <c r="I227" s="120"/>
      <c r="J227" s="130">
        <v>1818.9918848653244</v>
      </c>
      <c r="K227" s="131" t="s">
        <v>71</v>
      </c>
    </row>
    <row r="228" spans="1:11">
      <c r="A228" s="120" t="s">
        <v>552</v>
      </c>
      <c r="B228" s="120" t="s">
        <v>553</v>
      </c>
      <c r="C228" s="120" t="s">
        <v>119</v>
      </c>
      <c r="D228" s="120" t="s">
        <v>319</v>
      </c>
      <c r="E228" s="120" t="s">
        <v>1609</v>
      </c>
      <c r="F228" s="121">
        <v>2016</v>
      </c>
      <c r="G228" s="120" t="s">
        <v>1593</v>
      </c>
      <c r="H228" s="120" t="s">
        <v>1611</v>
      </c>
      <c r="I228" s="120"/>
      <c r="J228" s="130">
        <v>1657.5449944380648</v>
      </c>
      <c r="K228" s="131" t="s">
        <v>71</v>
      </c>
    </row>
    <row r="229" spans="1:11">
      <c r="A229" s="120" t="s">
        <v>554</v>
      </c>
      <c r="B229" s="120" t="s">
        <v>555</v>
      </c>
      <c r="C229" s="120" t="s">
        <v>119</v>
      </c>
      <c r="D229" s="120" t="s">
        <v>325</v>
      </c>
      <c r="E229" s="120" t="s">
        <v>1609</v>
      </c>
      <c r="F229" s="121">
        <v>2016</v>
      </c>
      <c r="G229" s="120" t="s">
        <v>1593</v>
      </c>
      <c r="H229" s="120" t="s">
        <v>1611</v>
      </c>
      <c r="I229" s="120"/>
      <c r="J229" s="130">
        <v>1289.7326914016026</v>
      </c>
      <c r="K229" s="131" t="s">
        <v>71</v>
      </c>
    </row>
    <row r="230" spans="1:11">
      <c r="A230" s="120" t="s">
        <v>550</v>
      </c>
      <c r="B230" s="120" t="s">
        <v>551</v>
      </c>
      <c r="C230" s="120" t="s">
        <v>116</v>
      </c>
      <c r="D230" s="120" t="s">
        <v>325</v>
      </c>
      <c r="E230" s="120" t="s">
        <v>1609</v>
      </c>
      <c r="F230" s="121">
        <v>2016</v>
      </c>
      <c r="G230" s="120" t="s">
        <v>1593</v>
      </c>
      <c r="H230" s="120" t="s">
        <v>1611</v>
      </c>
      <c r="I230" s="120"/>
      <c r="J230" s="130">
        <v>2304.8326421488382</v>
      </c>
      <c r="K230" s="131" t="s">
        <v>71</v>
      </c>
    </row>
    <row r="231" spans="1:11">
      <c r="A231" s="120" t="s">
        <v>546</v>
      </c>
      <c r="B231" s="120" t="s">
        <v>547</v>
      </c>
      <c r="C231" s="120" t="s">
        <v>115</v>
      </c>
      <c r="D231" s="120" t="s">
        <v>121</v>
      </c>
      <c r="E231" s="120" t="s">
        <v>1609</v>
      </c>
      <c r="F231" s="121">
        <v>2016</v>
      </c>
      <c r="G231" s="120" t="s">
        <v>1593</v>
      </c>
      <c r="H231" s="120" t="s">
        <v>1611</v>
      </c>
      <c r="I231" s="120"/>
      <c r="J231" s="130">
        <v>1297.6602713561156</v>
      </c>
      <c r="K231" s="131" t="s">
        <v>71</v>
      </c>
    </row>
    <row r="232" spans="1:11">
      <c r="A232" s="120" t="s">
        <v>544</v>
      </c>
      <c r="B232" s="120" t="s">
        <v>545</v>
      </c>
      <c r="C232" s="120" t="s">
        <v>118</v>
      </c>
      <c r="D232" s="120" t="s">
        <v>325</v>
      </c>
      <c r="E232" s="120" t="s">
        <v>1609</v>
      </c>
      <c r="F232" s="121">
        <v>2016</v>
      </c>
      <c r="G232" s="120" t="s">
        <v>1593</v>
      </c>
      <c r="H232" s="120" t="s">
        <v>1611</v>
      </c>
      <c r="I232" s="120"/>
      <c r="J232" s="130">
        <v>5930.5190925219176</v>
      </c>
      <c r="K232" s="131" t="s">
        <v>71</v>
      </c>
    </row>
    <row r="233" spans="1:11">
      <c r="A233" s="120" t="s">
        <v>548</v>
      </c>
      <c r="B233" s="120" t="s">
        <v>549</v>
      </c>
      <c r="C233" s="120" t="s">
        <v>114</v>
      </c>
      <c r="D233" s="120" t="s">
        <v>121</v>
      </c>
      <c r="E233" s="120" t="s">
        <v>1609</v>
      </c>
      <c r="F233" s="121">
        <v>2016</v>
      </c>
      <c r="G233" s="120" t="s">
        <v>1593</v>
      </c>
      <c r="H233" s="120" t="s">
        <v>1611</v>
      </c>
      <c r="I233" s="120"/>
      <c r="J233" s="130">
        <v>7747.9003987470433</v>
      </c>
      <c r="K233" s="131" t="s">
        <v>71</v>
      </c>
    </row>
    <row r="234" spans="1:11">
      <c r="A234" s="120" t="s">
        <v>710</v>
      </c>
      <c r="B234" s="120" t="s">
        <v>711</v>
      </c>
      <c r="C234" s="120" t="s">
        <v>117</v>
      </c>
      <c r="D234" s="120" t="s">
        <v>121</v>
      </c>
      <c r="E234" s="120" t="s">
        <v>1609</v>
      </c>
      <c r="F234" s="121">
        <v>2016</v>
      </c>
      <c r="G234" s="120" t="s">
        <v>1593</v>
      </c>
      <c r="H234" s="120" t="s">
        <v>1611</v>
      </c>
      <c r="I234" s="120"/>
      <c r="J234" s="130">
        <v>166.31646156175759</v>
      </c>
      <c r="K234" s="131" t="s">
        <v>71</v>
      </c>
    </row>
    <row r="235" spans="1:11">
      <c r="A235" s="120" t="s">
        <v>558</v>
      </c>
      <c r="B235" s="120" t="s">
        <v>559</v>
      </c>
      <c r="C235" s="120" t="s">
        <v>118</v>
      </c>
      <c r="D235" s="120" t="s">
        <v>325</v>
      </c>
      <c r="E235" s="120" t="s">
        <v>1609</v>
      </c>
      <c r="F235" s="121">
        <v>2016</v>
      </c>
      <c r="G235" s="120" t="s">
        <v>1593</v>
      </c>
      <c r="H235" s="120" t="s">
        <v>1611</v>
      </c>
      <c r="I235" s="120"/>
      <c r="J235" s="130">
        <v>500.46773584472044</v>
      </c>
      <c r="K235" s="131" t="s">
        <v>71</v>
      </c>
    </row>
    <row r="236" spans="1:11">
      <c r="A236" s="120" t="s">
        <v>562</v>
      </c>
      <c r="B236" s="120" t="s">
        <v>563</v>
      </c>
      <c r="C236" s="120" t="s">
        <v>116</v>
      </c>
      <c r="D236" s="120" t="s">
        <v>121</v>
      </c>
      <c r="E236" s="120" t="s">
        <v>1609</v>
      </c>
      <c r="F236" s="121">
        <v>2016</v>
      </c>
      <c r="G236" s="120" t="s">
        <v>1593</v>
      </c>
      <c r="H236" s="120" t="s">
        <v>1611</v>
      </c>
      <c r="I236" s="120"/>
      <c r="J236" s="130">
        <v>4182.5391027845808</v>
      </c>
      <c r="K236" s="131" t="s">
        <v>71</v>
      </c>
    </row>
    <row r="237" spans="1:11">
      <c r="A237" s="120" t="s">
        <v>568</v>
      </c>
      <c r="B237" s="120" t="s">
        <v>569</v>
      </c>
      <c r="C237" s="120" t="s">
        <v>116</v>
      </c>
      <c r="D237" s="120" t="s">
        <v>322</v>
      </c>
      <c r="E237" s="120" t="s">
        <v>1609</v>
      </c>
      <c r="F237" s="121">
        <v>2016</v>
      </c>
      <c r="G237" s="120" t="s">
        <v>1593</v>
      </c>
      <c r="H237" s="120" t="s">
        <v>1611</v>
      </c>
      <c r="I237" s="120"/>
      <c r="J237" s="130">
        <v>4039.2652669454264</v>
      </c>
      <c r="K237" s="131" t="s">
        <v>71</v>
      </c>
    </row>
    <row r="238" spans="1:11">
      <c r="A238" s="120" t="s">
        <v>570</v>
      </c>
      <c r="B238" s="120" t="s">
        <v>571</v>
      </c>
      <c r="C238" s="120" t="s">
        <v>114</v>
      </c>
      <c r="D238" s="120" t="s">
        <v>325</v>
      </c>
      <c r="E238" s="120" t="s">
        <v>1609</v>
      </c>
      <c r="F238" s="121">
        <v>2016</v>
      </c>
      <c r="G238" s="120" t="s">
        <v>1593</v>
      </c>
      <c r="H238" s="120" t="s">
        <v>1611</v>
      </c>
      <c r="I238" s="120"/>
      <c r="J238" s="130">
        <v>4977.1268616838743</v>
      </c>
      <c r="K238" s="131" t="s">
        <v>71</v>
      </c>
    </row>
    <row r="239" spans="1:11">
      <c r="A239" s="120" t="s">
        <v>572</v>
      </c>
      <c r="B239" s="120" t="s">
        <v>573</v>
      </c>
      <c r="C239" s="120" t="s">
        <v>115</v>
      </c>
      <c r="D239" s="120" t="s">
        <v>121</v>
      </c>
      <c r="E239" s="120" t="s">
        <v>1609</v>
      </c>
      <c r="F239" s="121">
        <v>2016</v>
      </c>
      <c r="G239" s="120" t="s">
        <v>1593</v>
      </c>
      <c r="H239" s="120" t="s">
        <v>1611</v>
      </c>
      <c r="I239" s="120"/>
      <c r="J239" s="130">
        <v>1587.622344358969</v>
      </c>
      <c r="K239" s="131" t="s">
        <v>71</v>
      </c>
    </row>
    <row r="240" spans="1:11">
      <c r="A240" s="120" t="s">
        <v>574</v>
      </c>
      <c r="B240" s="120" t="s">
        <v>575</v>
      </c>
      <c r="C240" s="120" t="s">
        <v>115</v>
      </c>
      <c r="D240" s="120" t="s">
        <v>121</v>
      </c>
      <c r="E240" s="120" t="s">
        <v>1609</v>
      </c>
      <c r="F240" s="121">
        <v>2016</v>
      </c>
      <c r="G240" s="120" t="s">
        <v>1593</v>
      </c>
      <c r="H240" s="120" t="s">
        <v>1611</v>
      </c>
      <c r="I240" s="120"/>
      <c r="J240" s="130">
        <v>2204.6405691531222</v>
      </c>
      <c r="K240" s="131" t="s">
        <v>71</v>
      </c>
    </row>
    <row r="241" spans="1:11">
      <c r="A241" s="120" t="s">
        <v>566</v>
      </c>
      <c r="B241" s="120" t="s">
        <v>567</v>
      </c>
      <c r="C241" s="120" t="s">
        <v>116</v>
      </c>
      <c r="D241" s="120" t="s">
        <v>322</v>
      </c>
      <c r="E241" s="120" t="s">
        <v>1609</v>
      </c>
      <c r="F241" s="121">
        <v>2016</v>
      </c>
      <c r="G241" s="120" t="s">
        <v>1593</v>
      </c>
      <c r="H241" s="120" t="s">
        <v>1611</v>
      </c>
      <c r="I241" s="120"/>
      <c r="J241" s="130">
        <v>1084.2260527859894</v>
      </c>
      <c r="K241" s="131" t="s">
        <v>71</v>
      </c>
    </row>
    <row r="242" spans="1:11">
      <c r="A242" s="120" t="s">
        <v>578</v>
      </c>
      <c r="B242" s="120" t="s">
        <v>579</v>
      </c>
      <c r="C242" s="120" t="s">
        <v>117</v>
      </c>
      <c r="D242" s="120" t="s">
        <v>121</v>
      </c>
      <c r="E242" s="120" t="s">
        <v>1609</v>
      </c>
      <c r="F242" s="121">
        <v>2016</v>
      </c>
      <c r="G242" s="120" t="s">
        <v>1593</v>
      </c>
      <c r="H242" s="120" t="s">
        <v>1611</v>
      </c>
      <c r="I242" s="120"/>
      <c r="J242" s="130">
        <v>142.87073172530637</v>
      </c>
      <c r="K242" s="131" t="s">
        <v>71</v>
      </c>
    </row>
    <row r="243" spans="1:11">
      <c r="A243" s="120" t="s">
        <v>580</v>
      </c>
      <c r="B243" s="120" t="s">
        <v>581</v>
      </c>
      <c r="C243" s="120" t="s">
        <v>115</v>
      </c>
      <c r="D243" s="120" t="s">
        <v>121</v>
      </c>
      <c r="E243" s="120" t="s">
        <v>1609</v>
      </c>
      <c r="F243" s="121">
        <v>2016</v>
      </c>
      <c r="G243" s="120" t="s">
        <v>1593</v>
      </c>
      <c r="H243" s="120" t="s">
        <v>1611</v>
      </c>
      <c r="I243" s="120"/>
      <c r="J243" s="130">
        <v>991.89789883099979</v>
      </c>
      <c r="K243" s="131" t="s">
        <v>71</v>
      </c>
    </row>
    <row r="244" spans="1:11">
      <c r="A244" s="120" t="s">
        <v>584</v>
      </c>
      <c r="B244" s="120" t="s">
        <v>585</v>
      </c>
      <c r="C244" s="120" t="s">
        <v>119</v>
      </c>
      <c r="D244" s="120" t="s">
        <v>319</v>
      </c>
      <c r="E244" s="120" t="s">
        <v>1609</v>
      </c>
      <c r="F244" s="121">
        <v>2016</v>
      </c>
      <c r="G244" s="120" t="s">
        <v>1593</v>
      </c>
      <c r="H244" s="120" t="s">
        <v>1611</v>
      </c>
      <c r="I244" s="120"/>
      <c r="J244" s="130">
        <v>1939.7274652531355</v>
      </c>
      <c r="K244" s="131" t="s">
        <v>71</v>
      </c>
    </row>
    <row r="245" spans="1:11">
      <c r="A245" s="120" t="s">
        <v>590</v>
      </c>
      <c r="B245" s="120" t="s">
        <v>591</v>
      </c>
      <c r="C245" s="120" t="s">
        <v>117</v>
      </c>
      <c r="D245" s="120" t="s">
        <v>121</v>
      </c>
      <c r="E245" s="120" t="s">
        <v>1609</v>
      </c>
      <c r="F245" s="121">
        <v>2016</v>
      </c>
      <c r="G245" s="120" t="s">
        <v>1593</v>
      </c>
      <c r="H245" s="120" t="s">
        <v>1611</v>
      </c>
      <c r="I245" s="120"/>
      <c r="J245" s="130">
        <v>519.89335138342142</v>
      </c>
      <c r="K245" s="131" t="s">
        <v>71</v>
      </c>
    </row>
    <row r="246" spans="1:11">
      <c r="A246" s="120" t="s">
        <v>622</v>
      </c>
      <c r="B246" s="120" t="s">
        <v>623</v>
      </c>
      <c r="C246" s="120" t="s">
        <v>119</v>
      </c>
      <c r="D246" s="120" t="s">
        <v>319</v>
      </c>
      <c r="E246" s="120" t="s">
        <v>1609</v>
      </c>
      <c r="F246" s="121">
        <v>2016</v>
      </c>
      <c r="G246" s="120" t="s">
        <v>1593</v>
      </c>
      <c r="H246" s="120" t="s">
        <v>1611</v>
      </c>
      <c r="I246" s="120"/>
      <c r="J246" s="130">
        <v>1257.2725330790011</v>
      </c>
      <c r="K246" s="131" t="s">
        <v>71</v>
      </c>
    </row>
    <row r="247" spans="1:11">
      <c r="A247" s="120" t="s">
        <v>592</v>
      </c>
      <c r="B247" s="120" t="s">
        <v>593</v>
      </c>
      <c r="C247" s="120" t="s">
        <v>119</v>
      </c>
      <c r="D247" s="120" t="s">
        <v>325</v>
      </c>
      <c r="E247" s="120" t="s">
        <v>1609</v>
      </c>
      <c r="F247" s="121">
        <v>2016</v>
      </c>
      <c r="G247" s="120" t="s">
        <v>1593</v>
      </c>
      <c r="H247" s="120" t="s">
        <v>1611</v>
      </c>
      <c r="I247" s="120"/>
      <c r="J247" s="130">
        <v>589.07425199489956</v>
      </c>
      <c r="K247" s="131" t="s">
        <v>71</v>
      </c>
    </row>
    <row r="248" spans="1:11">
      <c r="A248" s="120" t="s">
        <v>598</v>
      </c>
      <c r="B248" s="120" t="s">
        <v>599</v>
      </c>
      <c r="C248" s="120" t="s">
        <v>119</v>
      </c>
      <c r="D248" s="120" t="s">
        <v>319</v>
      </c>
      <c r="E248" s="120" t="s">
        <v>1609</v>
      </c>
      <c r="F248" s="121">
        <v>2016</v>
      </c>
      <c r="G248" s="120" t="s">
        <v>1593</v>
      </c>
      <c r="H248" s="120" t="s">
        <v>1611</v>
      </c>
      <c r="I248" s="120"/>
      <c r="J248" s="130">
        <v>3074.3721977951359</v>
      </c>
      <c r="K248" s="131" t="s">
        <v>71</v>
      </c>
    </row>
    <row r="249" spans="1:11">
      <c r="A249" s="120" t="s">
        <v>418</v>
      </c>
      <c r="B249" s="120" t="s">
        <v>419</v>
      </c>
      <c r="C249" s="120" t="s">
        <v>116</v>
      </c>
      <c r="D249" s="120" t="s">
        <v>322</v>
      </c>
      <c r="E249" s="120" t="s">
        <v>1609</v>
      </c>
      <c r="F249" s="121">
        <v>2016</v>
      </c>
      <c r="G249" s="120" t="s">
        <v>1593</v>
      </c>
      <c r="H249" s="120" t="s">
        <v>1611</v>
      </c>
      <c r="I249" s="120"/>
      <c r="J249" s="130">
        <v>3820.6368519221887</v>
      </c>
      <c r="K249" s="131" t="s">
        <v>71</v>
      </c>
    </row>
    <row r="250" spans="1:11">
      <c r="A250" s="120" t="s">
        <v>718</v>
      </c>
      <c r="B250" s="120" t="s">
        <v>719</v>
      </c>
      <c r="C250" s="120" t="s">
        <v>115</v>
      </c>
      <c r="D250" s="120" t="s">
        <v>121</v>
      </c>
      <c r="E250" s="120" t="s">
        <v>1609</v>
      </c>
      <c r="F250" s="121">
        <v>2016</v>
      </c>
      <c r="G250" s="120" t="s">
        <v>1593</v>
      </c>
      <c r="H250" s="120" t="s">
        <v>1611</v>
      </c>
      <c r="I250" s="120"/>
      <c r="J250" s="130">
        <v>1613.5822240647269</v>
      </c>
      <c r="K250" s="131" t="s">
        <v>71</v>
      </c>
    </row>
    <row r="251" spans="1:11">
      <c r="A251" s="120" t="s">
        <v>594</v>
      </c>
      <c r="B251" s="120" t="s">
        <v>595</v>
      </c>
      <c r="C251" s="120" t="s">
        <v>115</v>
      </c>
      <c r="D251" s="120" t="s">
        <v>322</v>
      </c>
      <c r="E251" s="120" t="s">
        <v>1609</v>
      </c>
      <c r="F251" s="121">
        <v>2016</v>
      </c>
      <c r="G251" s="120" t="s">
        <v>1593</v>
      </c>
      <c r="H251" s="120" t="s">
        <v>1611</v>
      </c>
      <c r="I251" s="120"/>
      <c r="J251" s="130">
        <v>2118.6489949723964</v>
      </c>
      <c r="K251" s="131" t="s">
        <v>71</v>
      </c>
    </row>
    <row r="252" spans="1:11">
      <c r="A252" s="120" t="s">
        <v>624</v>
      </c>
      <c r="B252" s="120" t="s">
        <v>625</v>
      </c>
      <c r="C252" s="120" t="s">
        <v>116</v>
      </c>
      <c r="D252" s="120" t="s">
        <v>322</v>
      </c>
      <c r="E252" s="120" t="s">
        <v>1609</v>
      </c>
      <c r="F252" s="121">
        <v>2016</v>
      </c>
      <c r="G252" s="120" t="s">
        <v>1593</v>
      </c>
      <c r="H252" s="120" t="s">
        <v>1611</v>
      </c>
      <c r="I252" s="120"/>
      <c r="J252" s="130">
        <v>2158.0795040797602</v>
      </c>
      <c r="K252" s="131" t="s">
        <v>71</v>
      </c>
    </row>
    <row r="253" spans="1:11">
      <c r="A253" s="120" t="s">
        <v>768</v>
      </c>
      <c r="B253" s="120" t="s">
        <v>627</v>
      </c>
      <c r="C253" s="120" t="s">
        <v>119</v>
      </c>
      <c r="D253" s="120" t="s">
        <v>325</v>
      </c>
      <c r="E253" s="120" t="s">
        <v>1609</v>
      </c>
      <c r="F253" s="121">
        <v>2016</v>
      </c>
      <c r="G253" s="120" t="s">
        <v>1593</v>
      </c>
      <c r="H253" s="120" t="s">
        <v>1611</v>
      </c>
      <c r="I253" s="120"/>
      <c r="J253" s="130">
        <v>1484.6741626063858</v>
      </c>
      <c r="K253" s="131" t="s">
        <v>71</v>
      </c>
    </row>
    <row r="254" spans="1:11">
      <c r="A254" s="120" t="s">
        <v>382</v>
      </c>
      <c r="B254" s="120" t="s">
        <v>383</v>
      </c>
      <c r="C254" s="120" t="s">
        <v>119</v>
      </c>
      <c r="D254" s="120" t="s">
        <v>319</v>
      </c>
      <c r="E254" s="120" t="s">
        <v>1609</v>
      </c>
      <c r="F254" s="121">
        <v>2016</v>
      </c>
      <c r="G254" s="120" t="s">
        <v>1593</v>
      </c>
      <c r="H254" s="120" t="s">
        <v>1611</v>
      </c>
      <c r="I254" s="120"/>
      <c r="J254" s="130">
        <v>1375.2174825625284</v>
      </c>
      <c r="K254" s="131" t="s">
        <v>71</v>
      </c>
    </row>
    <row r="255" spans="1:11">
      <c r="A255" s="120" t="s">
        <v>644</v>
      </c>
      <c r="B255" s="120" t="s">
        <v>645</v>
      </c>
      <c r="C255" s="120" t="s">
        <v>119</v>
      </c>
      <c r="D255" s="120" t="s">
        <v>319</v>
      </c>
      <c r="E255" s="120" t="s">
        <v>1609</v>
      </c>
      <c r="F255" s="121">
        <v>2016</v>
      </c>
      <c r="G255" s="120" t="s">
        <v>1593</v>
      </c>
      <c r="H255" s="120" t="s">
        <v>1611</v>
      </c>
      <c r="I255" s="120"/>
      <c r="J255" s="130">
        <v>1530.0822726381066</v>
      </c>
      <c r="K255" s="131" t="s">
        <v>71</v>
      </c>
    </row>
    <row r="256" spans="1:11">
      <c r="A256" s="120" t="s">
        <v>640</v>
      </c>
      <c r="B256" s="120" t="s">
        <v>641</v>
      </c>
      <c r="C256" s="120" t="s">
        <v>114</v>
      </c>
      <c r="D256" s="120" t="s">
        <v>322</v>
      </c>
      <c r="E256" s="120" t="s">
        <v>1609</v>
      </c>
      <c r="F256" s="121">
        <v>2016</v>
      </c>
      <c r="G256" s="120" t="s">
        <v>1593</v>
      </c>
      <c r="H256" s="120" t="s">
        <v>1611</v>
      </c>
      <c r="I256" s="120"/>
      <c r="J256" s="130">
        <v>2043.4066730858797</v>
      </c>
      <c r="K256" s="131" t="s">
        <v>71</v>
      </c>
    </row>
    <row r="257" spans="1:11">
      <c r="A257" s="120" t="s">
        <v>636</v>
      </c>
      <c r="B257" s="120" t="s">
        <v>637</v>
      </c>
      <c r="C257" s="120" t="s">
        <v>115</v>
      </c>
      <c r="D257" s="120" t="s">
        <v>325</v>
      </c>
      <c r="E257" s="120" t="s">
        <v>1609</v>
      </c>
      <c r="F257" s="121">
        <v>2016</v>
      </c>
      <c r="G257" s="120" t="s">
        <v>1593</v>
      </c>
      <c r="H257" s="120" t="s">
        <v>1611</v>
      </c>
      <c r="I257" s="120"/>
      <c r="J257" s="130">
        <v>862.86878952591906</v>
      </c>
      <c r="K257" s="131" t="s">
        <v>71</v>
      </c>
    </row>
    <row r="258" spans="1:11">
      <c r="A258" s="120" t="s">
        <v>654</v>
      </c>
      <c r="B258" s="120" t="s">
        <v>655</v>
      </c>
      <c r="C258" s="120" t="s">
        <v>115</v>
      </c>
      <c r="D258" s="120" t="s">
        <v>322</v>
      </c>
      <c r="E258" s="120" t="s">
        <v>1609</v>
      </c>
      <c r="F258" s="121">
        <v>2016</v>
      </c>
      <c r="G258" s="120" t="s">
        <v>1593</v>
      </c>
      <c r="H258" s="120" t="s">
        <v>1611</v>
      </c>
      <c r="I258" s="120"/>
      <c r="J258" s="130">
        <v>121.16255016764406</v>
      </c>
      <c r="K258" s="131" t="s">
        <v>71</v>
      </c>
    </row>
    <row r="259" spans="1:11">
      <c r="A259" s="120" t="s">
        <v>642</v>
      </c>
      <c r="B259" s="120" t="s">
        <v>643</v>
      </c>
      <c r="C259" s="120" t="s">
        <v>114</v>
      </c>
      <c r="D259" s="120" t="s">
        <v>325</v>
      </c>
      <c r="E259" s="120" t="s">
        <v>1609</v>
      </c>
      <c r="F259" s="121">
        <v>2016</v>
      </c>
      <c r="G259" s="120" t="s">
        <v>1593</v>
      </c>
      <c r="H259" s="120" t="s">
        <v>1611</v>
      </c>
      <c r="I259" s="120"/>
      <c r="J259" s="130">
        <v>3426.9815353675217</v>
      </c>
      <c r="K259" s="131" t="s">
        <v>71</v>
      </c>
    </row>
    <row r="260" spans="1:11">
      <c r="A260" s="120" t="s">
        <v>648</v>
      </c>
      <c r="B260" s="120" t="s">
        <v>649</v>
      </c>
      <c r="C260" s="120" t="s">
        <v>116</v>
      </c>
      <c r="D260" s="120" t="s">
        <v>121</v>
      </c>
      <c r="E260" s="120" t="s">
        <v>1609</v>
      </c>
      <c r="F260" s="121">
        <v>2016</v>
      </c>
      <c r="G260" s="120" t="s">
        <v>1593</v>
      </c>
      <c r="H260" s="120" t="s">
        <v>1611</v>
      </c>
      <c r="I260" s="120"/>
      <c r="J260" s="130">
        <v>1889.9055964836903</v>
      </c>
      <c r="K260" s="131" t="s">
        <v>71</v>
      </c>
    </row>
    <row r="261" spans="1:11">
      <c r="A261" s="120" t="s">
        <v>650</v>
      </c>
      <c r="B261" s="120" t="s">
        <v>651</v>
      </c>
      <c r="C261" s="120" t="s">
        <v>117</v>
      </c>
      <c r="D261" s="120" t="s">
        <v>325</v>
      </c>
      <c r="E261" s="120" t="s">
        <v>1609</v>
      </c>
      <c r="F261" s="121">
        <v>2016</v>
      </c>
      <c r="G261" s="120" t="s">
        <v>1593</v>
      </c>
      <c r="H261" s="120" t="s">
        <v>1611</v>
      </c>
      <c r="I261" s="120"/>
      <c r="J261" s="130">
        <v>986.24794390573948</v>
      </c>
      <c r="K261" s="131" t="s">
        <v>71</v>
      </c>
    </row>
    <row r="262" spans="1:11">
      <c r="A262" s="120" t="s">
        <v>774</v>
      </c>
      <c r="B262" s="120" t="s">
        <v>653</v>
      </c>
      <c r="C262" s="120" t="s">
        <v>115</v>
      </c>
      <c r="D262" s="120" t="s">
        <v>322</v>
      </c>
      <c r="E262" s="120" t="s">
        <v>1609</v>
      </c>
      <c r="F262" s="121">
        <v>2016</v>
      </c>
      <c r="G262" s="120" t="s">
        <v>1593</v>
      </c>
      <c r="H262" s="120" t="s">
        <v>1611</v>
      </c>
      <c r="I262" s="120"/>
      <c r="J262" s="130">
        <v>372.06193859403311</v>
      </c>
      <c r="K262" s="131" t="s">
        <v>71</v>
      </c>
    </row>
    <row r="263" spans="1:11">
      <c r="A263" s="120" t="s">
        <v>638</v>
      </c>
      <c r="B263" s="120" t="s">
        <v>639</v>
      </c>
      <c r="C263" s="120" t="s">
        <v>119</v>
      </c>
      <c r="D263" s="120" t="s">
        <v>325</v>
      </c>
      <c r="E263" s="120" t="s">
        <v>1609</v>
      </c>
      <c r="F263" s="121">
        <v>2016</v>
      </c>
      <c r="G263" s="120" t="s">
        <v>1593</v>
      </c>
      <c r="H263" s="120" t="s">
        <v>1611</v>
      </c>
      <c r="I263" s="120"/>
      <c r="J263" s="130">
        <v>900.27065187773951</v>
      </c>
      <c r="K263" s="131" t="s">
        <v>71</v>
      </c>
    </row>
    <row r="264" spans="1:11">
      <c r="A264" s="120" t="s">
        <v>656</v>
      </c>
      <c r="B264" s="120" t="s">
        <v>657</v>
      </c>
      <c r="C264" s="120" t="s">
        <v>119</v>
      </c>
      <c r="D264" s="120" t="s">
        <v>319</v>
      </c>
      <c r="E264" s="120" t="s">
        <v>1609</v>
      </c>
      <c r="F264" s="121">
        <v>2016</v>
      </c>
      <c r="G264" s="120" t="s">
        <v>1593</v>
      </c>
      <c r="H264" s="120" t="s">
        <v>1611</v>
      </c>
      <c r="I264" s="120"/>
      <c r="J264" s="130">
        <v>1914.6662971552726</v>
      </c>
      <c r="K264" s="131" t="s">
        <v>71</v>
      </c>
    </row>
    <row r="265" spans="1:11">
      <c r="A265" s="120" t="s">
        <v>658</v>
      </c>
      <c r="B265" s="120" t="s">
        <v>659</v>
      </c>
      <c r="C265" s="120" t="s">
        <v>115</v>
      </c>
      <c r="D265" s="120" t="s">
        <v>325</v>
      </c>
      <c r="E265" s="120" t="s">
        <v>1609</v>
      </c>
      <c r="F265" s="121">
        <v>2016</v>
      </c>
      <c r="G265" s="120" t="s">
        <v>1593</v>
      </c>
      <c r="H265" s="120" t="s">
        <v>1611</v>
      </c>
      <c r="I265" s="120"/>
      <c r="J265" s="130">
        <v>522.63029200511869</v>
      </c>
      <c r="K265" s="131" t="s">
        <v>71</v>
      </c>
    </row>
    <row r="266" spans="1:11">
      <c r="A266" s="120" t="s">
        <v>666</v>
      </c>
      <c r="B266" s="120" t="s">
        <v>667</v>
      </c>
      <c r="C266" s="120" t="s">
        <v>116</v>
      </c>
      <c r="D266" s="120" t="s">
        <v>121</v>
      </c>
      <c r="E266" s="120" t="s">
        <v>1609</v>
      </c>
      <c r="F266" s="121">
        <v>2016</v>
      </c>
      <c r="G266" s="120" t="s">
        <v>1593</v>
      </c>
      <c r="H266" s="120" t="s">
        <v>1611</v>
      </c>
      <c r="I266" s="120"/>
      <c r="J266" s="130">
        <v>1137.3156530030683</v>
      </c>
      <c r="K266" s="131" t="s">
        <v>71</v>
      </c>
    </row>
    <row r="267" spans="1:11">
      <c r="A267" s="120" t="s">
        <v>664</v>
      </c>
      <c r="B267" s="120" t="s">
        <v>665</v>
      </c>
      <c r="C267" s="120" t="s">
        <v>120</v>
      </c>
      <c r="D267" s="120" t="s">
        <v>121</v>
      </c>
      <c r="E267" s="120" t="s">
        <v>1609</v>
      </c>
      <c r="F267" s="121">
        <v>2016</v>
      </c>
      <c r="G267" s="120" t="s">
        <v>1593</v>
      </c>
      <c r="H267" s="120" t="s">
        <v>1611</v>
      </c>
      <c r="I267" s="120"/>
      <c r="J267" s="130">
        <v>2260.5937116390737</v>
      </c>
      <c r="K267" s="131" t="s">
        <v>71</v>
      </c>
    </row>
    <row r="268" spans="1:11">
      <c r="A268" s="120" t="s">
        <v>668</v>
      </c>
      <c r="B268" s="120" t="s">
        <v>669</v>
      </c>
      <c r="C268" s="120" t="s">
        <v>115</v>
      </c>
      <c r="D268" s="120" t="s">
        <v>325</v>
      </c>
      <c r="E268" s="120" t="s">
        <v>1609</v>
      </c>
      <c r="F268" s="121">
        <v>2016</v>
      </c>
      <c r="G268" s="120" t="s">
        <v>1593</v>
      </c>
      <c r="H268" s="120" t="s">
        <v>1611</v>
      </c>
      <c r="I268" s="120"/>
      <c r="J268" s="130">
        <v>707.77287788301965</v>
      </c>
      <c r="K268" s="131" t="s">
        <v>71</v>
      </c>
    </row>
    <row r="269" spans="1:11">
      <c r="A269" s="120" t="s">
        <v>674</v>
      </c>
      <c r="B269" s="120" t="s">
        <v>675</v>
      </c>
      <c r="C269" s="120" t="s">
        <v>114</v>
      </c>
      <c r="D269" s="120" t="s">
        <v>325</v>
      </c>
      <c r="E269" s="120" t="s">
        <v>1609</v>
      </c>
      <c r="F269" s="121">
        <v>2016</v>
      </c>
      <c r="G269" s="120" t="s">
        <v>1593</v>
      </c>
      <c r="H269" s="120" t="s">
        <v>1611</v>
      </c>
      <c r="I269" s="120"/>
      <c r="J269" s="130">
        <v>3322.4514592853916</v>
      </c>
      <c r="K269" s="131" t="s">
        <v>71</v>
      </c>
    </row>
    <row r="270" spans="1:11">
      <c r="A270" s="120" t="s">
        <v>610</v>
      </c>
      <c r="B270" s="120" t="s">
        <v>611</v>
      </c>
      <c r="C270" s="120" t="s">
        <v>119</v>
      </c>
      <c r="D270" s="120" t="s">
        <v>322</v>
      </c>
      <c r="E270" s="120" t="s">
        <v>1609</v>
      </c>
      <c r="F270" s="121">
        <v>2016</v>
      </c>
      <c r="G270" s="120" t="s">
        <v>1593</v>
      </c>
      <c r="H270" s="120" t="s">
        <v>1611</v>
      </c>
      <c r="I270" s="120"/>
      <c r="J270" s="130">
        <v>1209.6183907278019</v>
      </c>
      <c r="K270" s="131" t="s">
        <v>71</v>
      </c>
    </row>
    <row r="271" spans="1:11">
      <c r="A271" s="120" t="s">
        <v>680</v>
      </c>
      <c r="B271" s="120" t="s">
        <v>681</v>
      </c>
      <c r="C271" s="120" t="s">
        <v>119</v>
      </c>
      <c r="D271" s="120" t="s">
        <v>325</v>
      </c>
      <c r="E271" s="120" t="s">
        <v>1609</v>
      </c>
      <c r="F271" s="121">
        <v>2016</v>
      </c>
      <c r="G271" s="120" t="s">
        <v>1593</v>
      </c>
      <c r="H271" s="120" t="s">
        <v>1611</v>
      </c>
      <c r="I271" s="120"/>
      <c r="J271" s="130">
        <v>1105.2641613365086</v>
      </c>
      <c r="K271" s="131" t="s">
        <v>71</v>
      </c>
    </row>
    <row r="272" spans="1:11">
      <c r="A272" s="120" t="s">
        <v>682</v>
      </c>
      <c r="B272" s="120" t="s">
        <v>683</v>
      </c>
      <c r="C272" s="120" t="s">
        <v>119</v>
      </c>
      <c r="D272" s="120" t="s">
        <v>325</v>
      </c>
      <c r="E272" s="120" t="s">
        <v>1609</v>
      </c>
      <c r="F272" s="121">
        <v>2016</v>
      </c>
      <c r="G272" s="120" t="s">
        <v>1593</v>
      </c>
      <c r="H272" s="120" t="s">
        <v>1611</v>
      </c>
      <c r="I272" s="120"/>
      <c r="J272" s="130">
        <v>2026.7087055763616</v>
      </c>
      <c r="K272" s="131" t="s">
        <v>71</v>
      </c>
    </row>
    <row r="273" spans="1:11">
      <c r="A273" s="120" t="s">
        <v>314</v>
      </c>
      <c r="B273" s="120" t="s">
        <v>315</v>
      </c>
      <c r="C273" s="120" t="s">
        <v>1566</v>
      </c>
      <c r="D273" s="120" t="s">
        <v>314</v>
      </c>
      <c r="E273" s="120" t="s">
        <v>1609</v>
      </c>
      <c r="F273" s="121">
        <v>2016</v>
      </c>
      <c r="G273" s="120" t="s">
        <v>1593</v>
      </c>
      <c r="H273" s="120" t="s">
        <v>1611</v>
      </c>
      <c r="I273" s="120"/>
      <c r="J273" s="130">
        <v>962.25797439157395</v>
      </c>
      <c r="K273" s="131" t="s">
        <v>71</v>
      </c>
    </row>
    <row r="274" spans="1:11">
      <c r="A274" s="120" t="s">
        <v>317</v>
      </c>
      <c r="B274" s="120" t="s">
        <v>318</v>
      </c>
      <c r="C274" s="120" t="s">
        <v>118</v>
      </c>
      <c r="D274" s="120" t="s">
        <v>319</v>
      </c>
      <c r="E274" s="120" t="s">
        <v>1609</v>
      </c>
      <c r="F274" s="121">
        <v>2016</v>
      </c>
      <c r="G274" s="120" t="s">
        <v>1593</v>
      </c>
      <c r="H274" s="120" t="s">
        <v>1612</v>
      </c>
      <c r="I274" s="120"/>
      <c r="J274" s="130">
        <v>742.54686246839219</v>
      </c>
      <c r="K274" s="131" t="s">
        <v>71</v>
      </c>
    </row>
    <row r="275" spans="1:11">
      <c r="A275" s="120" t="s">
        <v>326</v>
      </c>
      <c r="B275" s="120" t="s">
        <v>327</v>
      </c>
      <c r="C275" s="120" t="s">
        <v>119</v>
      </c>
      <c r="D275" s="120" t="s">
        <v>325</v>
      </c>
      <c r="E275" s="120" t="s">
        <v>1609</v>
      </c>
      <c r="F275" s="121">
        <v>2016</v>
      </c>
      <c r="G275" s="120" t="s">
        <v>1593</v>
      </c>
      <c r="H275" s="120" t="s">
        <v>1612</v>
      </c>
      <c r="I275" s="120"/>
      <c r="J275" s="130">
        <v>1546.6334649490443</v>
      </c>
      <c r="K275" s="131" t="s">
        <v>71</v>
      </c>
    </row>
    <row r="276" spans="1:11">
      <c r="A276" s="120" t="s">
        <v>320</v>
      </c>
      <c r="B276" s="120" t="s">
        <v>321</v>
      </c>
      <c r="C276" s="120" t="s">
        <v>115</v>
      </c>
      <c r="D276" s="120" t="s">
        <v>322</v>
      </c>
      <c r="E276" s="120" t="s">
        <v>1609</v>
      </c>
      <c r="F276" s="121">
        <v>2016</v>
      </c>
      <c r="G276" s="120" t="s">
        <v>1593</v>
      </c>
      <c r="H276" s="120" t="s">
        <v>1612</v>
      </c>
      <c r="I276" s="120"/>
      <c r="J276" s="130">
        <v>1172.9903358135093</v>
      </c>
      <c r="K276" s="131" t="s">
        <v>71</v>
      </c>
    </row>
    <row r="277" spans="1:11">
      <c r="A277" s="120" t="s">
        <v>688</v>
      </c>
      <c r="B277" s="120" t="s">
        <v>689</v>
      </c>
      <c r="C277" s="120" t="s">
        <v>115</v>
      </c>
      <c r="D277" s="120" t="s">
        <v>121</v>
      </c>
      <c r="E277" s="120" t="s">
        <v>1609</v>
      </c>
      <c r="F277" s="121">
        <v>2016</v>
      </c>
      <c r="G277" s="120" t="s">
        <v>1593</v>
      </c>
      <c r="H277" s="120" t="s">
        <v>1612</v>
      </c>
      <c r="I277" s="120"/>
      <c r="J277" s="130">
        <v>3272.9379687665992</v>
      </c>
      <c r="K277" s="131" t="s">
        <v>71</v>
      </c>
    </row>
    <row r="278" spans="1:11">
      <c r="A278" s="120" t="s">
        <v>660</v>
      </c>
      <c r="B278" s="120" t="s">
        <v>661</v>
      </c>
      <c r="C278" s="120" t="s">
        <v>117</v>
      </c>
      <c r="D278" s="120" t="s">
        <v>121</v>
      </c>
      <c r="E278" s="120" t="s">
        <v>1609</v>
      </c>
      <c r="F278" s="121">
        <v>2016</v>
      </c>
      <c r="G278" s="120" t="s">
        <v>1593</v>
      </c>
      <c r="H278" s="120" t="s">
        <v>1612</v>
      </c>
      <c r="I278" s="120"/>
      <c r="J278" s="130">
        <v>154.3289390853426</v>
      </c>
      <c r="K278" s="131" t="s">
        <v>71</v>
      </c>
    </row>
    <row r="279" spans="1:11">
      <c r="A279" s="120" t="s">
        <v>330</v>
      </c>
      <c r="B279" s="120" t="s">
        <v>331</v>
      </c>
      <c r="C279" s="120" t="s">
        <v>116</v>
      </c>
      <c r="D279" s="120" t="s">
        <v>322</v>
      </c>
      <c r="E279" s="120" t="s">
        <v>1609</v>
      </c>
      <c r="F279" s="121">
        <v>2016</v>
      </c>
      <c r="G279" s="120" t="s">
        <v>1593</v>
      </c>
      <c r="H279" s="120" t="s">
        <v>1612</v>
      </c>
      <c r="I279" s="120"/>
      <c r="J279" s="130">
        <v>2251.7481703108397</v>
      </c>
      <c r="K279" s="131" t="s">
        <v>71</v>
      </c>
    </row>
    <row r="280" spans="1:11">
      <c r="A280" s="120" t="s">
        <v>332</v>
      </c>
      <c r="B280" s="120" t="s">
        <v>333</v>
      </c>
      <c r="C280" s="120" t="s">
        <v>115</v>
      </c>
      <c r="D280" s="120" t="s">
        <v>322</v>
      </c>
      <c r="E280" s="120" t="s">
        <v>1609</v>
      </c>
      <c r="F280" s="121">
        <v>2016</v>
      </c>
      <c r="G280" s="120" t="s">
        <v>1593</v>
      </c>
      <c r="H280" s="120" t="s">
        <v>1612</v>
      </c>
      <c r="I280" s="120"/>
      <c r="J280" s="130">
        <v>285.79754124058996</v>
      </c>
      <c r="K280" s="131" t="s">
        <v>71</v>
      </c>
    </row>
    <row r="281" spans="1:11">
      <c r="A281" s="120" t="s">
        <v>334</v>
      </c>
      <c r="B281" s="120" t="s">
        <v>335</v>
      </c>
      <c r="C281" s="120" t="s">
        <v>114</v>
      </c>
      <c r="D281" s="120" t="s">
        <v>121</v>
      </c>
      <c r="E281" s="120" t="s">
        <v>1609</v>
      </c>
      <c r="F281" s="121">
        <v>2016</v>
      </c>
      <c r="G281" s="120" t="s">
        <v>1593</v>
      </c>
      <c r="H281" s="120" t="s">
        <v>1612</v>
      </c>
      <c r="I281" s="120"/>
      <c r="J281" s="130">
        <v>707.99847241895213</v>
      </c>
      <c r="K281" s="131" t="s">
        <v>71</v>
      </c>
    </row>
    <row r="282" spans="1:11">
      <c r="A282" s="120" t="s">
        <v>338</v>
      </c>
      <c r="B282" s="120" t="s">
        <v>339</v>
      </c>
      <c r="C282" s="120" t="s">
        <v>115</v>
      </c>
      <c r="D282" s="120" t="s">
        <v>322</v>
      </c>
      <c r="E282" s="120" t="s">
        <v>1609</v>
      </c>
      <c r="F282" s="121">
        <v>2016</v>
      </c>
      <c r="G282" s="120" t="s">
        <v>1593</v>
      </c>
      <c r="H282" s="120" t="s">
        <v>1612</v>
      </c>
      <c r="I282" s="120"/>
      <c r="J282" s="130">
        <v>732.8211056915618</v>
      </c>
      <c r="K282" s="131" t="s">
        <v>71</v>
      </c>
    </row>
    <row r="283" spans="1:11">
      <c r="A283" s="120" t="s">
        <v>370</v>
      </c>
      <c r="B283" s="120" t="s">
        <v>371</v>
      </c>
      <c r="C283" s="120" t="s">
        <v>119</v>
      </c>
      <c r="D283" s="120" t="s">
        <v>319</v>
      </c>
      <c r="E283" s="120" t="s">
        <v>1609</v>
      </c>
      <c r="F283" s="121">
        <v>2016</v>
      </c>
      <c r="G283" s="120" t="s">
        <v>1593</v>
      </c>
      <c r="H283" s="120" t="s">
        <v>1612</v>
      </c>
      <c r="I283" s="120"/>
      <c r="J283" s="130">
        <v>1267.6113634414673</v>
      </c>
      <c r="K283" s="131" t="s">
        <v>71</v>
      </c>
    </row>
    <row r="284" spans="1:11">
      <c r="A284" s="120" t="s">
        <v>348</v>
      </c>
      <c r="B284" s="120" t="s">
        <v>349</v>
      </c>
      <c r="C284" s="120" t="s">
        <v>115</v>
      </c>
      <c r="D284" s="120" t="s">
        <v>121</v>
      </c>
      <c r="E284" s="120" t="s">
        <v>1609</v>
      </c>
      <c r="F284" s="121">
        <v>2016</v>
      </c>
      <c r="G284" s="120" t="s">
        <v>1593</v>
      </c>
      <c r="H284" s="120" t="s">
        <v>1612</v>
      </c>
      <c r="I284" s="120"/>
      <c r="J284" s="130">
        <v>6413.1927718241141</v>
      </c>
      <c r="K284" s="131" t="s">
        <v>71</v>
      </c>
    </row>
    <row r="285" spans="1:11">
      <c r="A285" s="120" t="s">
        <v>352</v>
      </c>
      <c r="B285" s="120" t="s">
        <v>353</v>
      </c>
      <c r="C285" s="120" t="s">
        <v>119</v>
      </c>
      <c r="D285" s="120" t="s">
        <v>325</v>
      </c>
      <c r="E285" s="120" t="s">
        <v>1609</v>
      </c>
      <c r="F285" s="121">
        <v>2016</v>
      </c>
      <c r="G285" s="120" t="s">
        <v>1593</v>
      </c>
      <c r="H285" s="120" t="s">
        <v>1612</v>
      </c>
      <c r="I285" s="120"/>
      <c r="J285" s="130">
        <v>1212.4949289681028</v>
      </c>
      <c r="K285" s="131" t="s">
        <v>71</v>
      </c>
    </row>
    <row r="286" spans="1:11">
      <c r="A286" s="120" t="s">
        <v>368</v>
      </c>
      <c r="B286" s="120" t="s">
        <v>369</v>
      </c>
      <c r="C286" s="120" t="s">
        <v>119</v>
      </c>
      <c r="D286" s="120" t="s">
        <v>319</v>
      </c>
      <c r="E286" s="120" t="s">
        <v>1609</v>
      </c>
      <c r="F286" s="121">
        <v>2016</v>
      </c>
      <c r="G286" s="120" t="s">
        <v>1593</v>
      </c>
      <c r="H286" s="120" t="s">
        <v>1612</v>
      </c>
      <c r="I286" s="120"/>
      <c r="J286" s="130">
        <v>649.39995747439593</v>
      </c>
      <c r="K286" s="131" t="s">
        <v>71</v>
      </c>
    </row>
    <row r="287" spans="1:11">
      <c r="A287" s="120" t="s">
        <v>342</v>
      </c>
      <c r="B287" s="120" t="s">
        <v>343</v>
      </c>
      <c r="C287" s="120" t="s">
        <v>118</v>
      </c>
      <c r="D287" s="120" t="s">
        <v>325</v>
      </c>
      <c r="E287" s="120" t="s">
        <v>1609</v>
      </c>
      <c r="F287" s="121">
        <v>2016</v>
      </c>
      <c r="G287" s="120" t="s">
        <v>1593</v>
      </c>
      <c r="H287" s="120" t="s">
        <v>1612</v>
      </c>
      <c r="I287" s="120"/>
      <c r="J287" s="130">
        <v>1414.9336195542126</v>
      </c>
      <c r="K287" s="131" t="s">
        <v>71</v>
      </c>
    </row>
    <row r="288" spans="1:11">
      <c r="A288" s="120" t="s">
        <v>366</v>
      </c>
      <c r="B288" s="120" t="s">
        <v>367</v>
      </c>
      <c r="C288" s="120" t="s">
        <v>115</v>
      </c>
      <c r="D288" s="120" t="s">
        <v>322</v>
      </c>
      <c r="E288" s="120" t="s">
        <v>1609</v>
      </c>
      <c r="F288" s="121">
        <v>2016</v>
      </c>
      <c r="G288" s="120" t="s">
        <v>1593</v>
      </c>
      <c r="H288" s="120" t="s">
        <v>1612</v>
      </c>
      <c r="I288" s="120"/>
      <c r="J288" s="130">
        <v>1149.4527649932434</v>
      </c>
      <c r="K288" s="131" t="s">
        <v>71</v>
      </c>
    </row>
    <row r="289" spans="1:11">
      <c r="A289" s="120" t="s">
        <v>690</v>
      </c>
      <c r="B289" s="120" t="s">
        <v>691</v>
      </c>
      <c r="C289" s="120" t="s">
        <v>117</v>
      </c>
      <c r="D289" s="120" t="s">
        <v>121</v>
      </c>
      <c r="E289" s="120" t="s">
        <v>1609</v>
      </c>
      <c r="F289" s="121">
        <v>2016</v>
      </c>
      <c r="G289" s="120" t="s">
        <v>1593</v>
      </c>
      <c r="H289" s="120" t="s">
        <v>1612</v>
      </c>
      <c r="I289" s="120"/>
      <c r="J289" s="130">
        <v>133.59316688020141</v>
      </c>
      <c r="K289" s="131" t="s">
        <v>71</v>
      </c>
    </row>
    <row r="290" spans="1:11">
      <c r="A290" s="120" t="s">
        <v>346</v>
      </c>
      <c r="B290" s="120" t="s">
        <v>347</v>
      </c>
      <c r="C290" s="120" t="s">
        <v>115</v>
      </c>
      <c r="D290" s="120" t="s">
        <v>322</v>
      </c>
      <c r="E290" s="120" t="s">
        <v>1609</v>
      </c>
      <c r="F290" s="121">
        <v>2016</v>
      </c>
      <c r="G290" s="120" t="s">
        <v>1593</v>
      </c>
      <c r="H290" s="120" t="s">
        <v>1612</v>
      </c>
      <c r="I290" s="120"/>
      <c r="J290" s="130">
        <v>2285.9675522133925</v>
      </c>
      <c r="K290" s="131" t="s">
        <v>71</v>
      </c>
    </row>
    <row r="291" spans="1:11">
      <c r="A291" s="120" t="s">
        <v>350</v>
      </c>
      <c r="B291" s="120" t="s">
        <v>351</v>
      </c>
      <c r="C291" s="120" t="s">
        <v>116</v>
      </c>
      <c r="D291" s="120" t="s">
        <v>322</v>
      </c>
      <c r="E291" s="120" t="s">
        <v>1609</v>
      </c>
      <c r="F291" s="121">
        <v>2016</v>
      </c>
      <c r="G291" s="120" t="s">
        <v>1593</v>
      </c>
      <c r="H291" s="120" t="s">
        <v>1612</v>
      </c>
      <c r="I291" s="120"/>
      <c r="J291" s="130">
        <v>1861.3045323195349</v>
      </c>
      <c r="K291" s="131" t="s">
        <v>71</v>
      </c>
    </row>
    <row r="292" spans="1:11">
      <c r="A292" s="120" t="s">
        <v>356</v>
      </c>
      <c r="B292" s="120" t="s">
        <v>357</v>
      </c>
      <c r="C292" s="120" t="s">
        <v>116</v>
      </c>
      <c r="D292" s="120" t="s">
        <v>325</v>
      </c>
      <c r="E292" s="120" t="s">
        <v>1609</v>
      </c>
      <c r="F292" s="121">
        <v>2016</v>
      </c>
      <c r="G292" s="120" t="s">
        <v>1593</v>
      </c>
      <c r="H292" s="120" t="s">
        <v>1612</v>
      </c>
      <c r="I292" s="120"/>
      <c r="J292" s="130">
        <v>1670.3865012947456</v>
      </c>
      <c r="K292" s="131" t="s">
        <v>71</v>
      </c>
    </row>
    <row r="293" spans="1:11">
      <c r="A293" s="120" t="s">
        <v>362</v>
      </c>
      <c r="B293" s="120" t="s">
        <v>363</v>
      </c>
      <c r="C293" s="120" t="s">
        <v>116</v>
      </c>
      <c r="D293" s="120" t="s">
        <v>322</v>
      </c>
      <c r="E293" s="120" t="s">
        <v>1609</v>
      </c>
      <c r="F293" s="121">
        <v>2016</v>
      </c>
      <c r="G293" s="120" t="s">
        <v>1593</v>
      </c>
      <c r="H293" s="120" t="s">
        <v>1612</v>
      </c>
      <c r="I293" s="120"/>
      <c r="J293" s="130">
        <v>1686.7487739304017</v>
      </c>
      <c r="K293" s="131" t="s">
        <v>71</v>
      </c>
    </row>
    <row r="294" spans="1:11">
      <c r="A294" s="120" t="s">
        <v>354</v>
      </c>
      <c r="B294" s="120" t="s">
        <v>355</v>
      </c>
      <c r="C294" s="120" t="s">
        <v>118</v>
      </c>
      <c r="D294" s="120" t="s">
        <v>325</v>
      </c>
      <c r="E294" s="120" t="s">
        <v>1609</v>
      </c>
      <c r="F294" s="121">
        <v>2016</v>
      </c>
      <c r="G294" s="120" t="s">
        <v>1593</v>
      </c>
      <c r="H294" s="120" t="s">
        <v>1612</v>
      </c>
      <c r="I294" s="120"/>
      <c r="J294" s="130">
        <v>8871.2766668446257</v>
      </c>
      <c r="K294" s="131" t="s">
        <v>71</v>
      </c>
    </row>
    <row r="295" spans="1:11">
      <c r="A295" s="120" t="s">
        <v>360</v>
      </c>
      <c r="B295" s="120" t="s">
        <v>361</v>
      </c>
      <c r="C295" s="120" t="s">
        <v>119</v>
      </c>
      <c r="D295" s="120" t="s">
        <v>322</v>
      </c>
      <c r="E295" s="120" t="s">
        <v>1609</v>
      </c>
      <c r="F295" s="121">
        <v>2016</v>
      </c>
      <c r="G295" s="120" t="s">
        <v>1593</v>
      </c>
      <c r="H295" s="120" t="s">
        <v>1612</v>
      </c>
      <c r="I295" s="120"/>
      <c r="J295" s="130">
        <v>354.52972088637057</v>
      </c>
      <c r="K295" s="131" t="s">
        <v>71</v>
      </c>
    </row>
    <row r="296" spans="1:11">
      <c r="A296" s="120" t="s">
        <v>380</v>
      </c>
      <c r="B296" s="120" t="s">
        <v>381</v>
      </c>
      <c r="C296" s="120" t="s">
        <v>119</v>
      </c>
      <c r="D296" s="120" t="s">
        <v>319</v>
      </c>
      <c r="E296" s="120" t="s">
        <v>1609</v>
      </c>
      <c r="F296" s="121">
        <v>2016</v>
      </c>
      <c r="G296" s="120" t="s">
        <v>1593</v>
      </c>
      <c r="H296" s="120" t="s">
        <v>1612</v>
      </c>
      <c r="I296" s="120"/>
      <c r="J296" s="130">
        <v>1595.5186671058341</v>
      </c>
      <c r="K296" s="131" t="s">
        <v>71</v>
      </c>
    </row>
    <row r="297" spans="1:11">
      <c r="A297" s="120" t="s">
        <v>378</v>
      </c>
      <c r="B297" s="120" t="s">
        <v>379</v>
      </c>
      <c r="C297" s="120" t="s">
        <v>120</v>
      </c>
      <c r="D297" s="120" t="s">
        <v>121</v>
      </c>
      <c r="E297" s="120" t="s">
        <v>1609</v>
      </c>
      <c r="F297" s="121">
        <v>2016</v>
      </c>
      <c r="G297" s="120" t="s">
        <v>1593</v>
      </c>
      <c r="H297" s="120" t="s">
        <v>1612</v>
      </c>
      <c r="I297" s="120"/>
      <c r="J297" s="130">
        <v>878.18840366104075</v>
      </c>
      <c r="K297" s="131" t="s">
        <v>71</v>
      </c>
    </row>
    <row r="298" spans="1:11">
      <c r="A298" s="120" t="s">
        <v>630</v>
      </c>
      <c r="B298" s="120" t="s">
        <v>631</v>
      </c>
      <c r="C298" s="120" t="s">
        <v>115</v>
      </c>
      <c r="D298" s="120" t="s">
        <v>121</v>
      </c>
      <c r="E298" s="120" t="s">
        <v>1609</v>
      </c>
      <c r="F298" s="121">
        <v>2016</v>
      </c>
      <c r="G298" s="120" t="s">
        <v>1593</v>
      </c>
      <c r="H298" s="120" t="s">
        <v>1612</v>
      </c>
      <c r="I298" s="120"/>
      <c r="J298" s="130">
        <v>7161.2269862363119</v>
      </c>
      <c r="K298" s="131" t="s">
        <v>71</v>
      </c>
    </row>
    <row r="299" spans="1:11">
      <c r="A299" s="120" t="s">
        <v>384</v>
      </c>
      <c r="B299" s="120" t="s">
        <v>385</v>
      </c>
      <c r="C299" s="120" t="s">
        <v>116</v>
      </c>
      <c r="D299" s="120" t="s">
        <v>121</v>
      </c>
      <c r="E299" s="120" t="s">
        <v>1609</v>
      </c>
      <c r="F299" s="121">
        <v>2016</v>
      </c>
      <c r="G299" s="120" t="s">
        <v>1593</v>
      </c>
      <c r="H299" s="120" t="s">
        <v>1612</v>
      </c>
      <c r="I299" s="120"/>
      <c r="J299" s="130">
        <v>1607.0503736796629</v>
      </c>
      <c r="K299" s="131" t="s">
        <v>71</v>
      </c>
    </row>
    <row r="300" spans="1:11">
      <c r="A300" s="120" t="s">
        <v>386</v>
      </c>
      <c r="B300" s="120" t="s">
        <v>387</v>
      </c>
      <c r="C300" s="120" t="s">
        <v>114</v>
      </c>
      <c r="D300" s="120" t="s">
        <v>322</v>
      </c>
      <c r="E300" s="120" t="s">
        <v>1609</v>
      </c>
      <c r="F300" s="121">
        <v>2016</v>
      </c>
      <c r="G300" s="120" t="s">
        <v>1593</v>
      </c>
      <c r="H300" s="120" t="s">
        <v>1612</v>
      </c>
      <c r="I300" s="120"/>
      <c r="J300" s="130">
        <v>1625.4350389911554</v>
      </c>
      <c r="K300" s="131" t="s">
        <v>71</v>
      </c>
    </row>
    <row r="301" spans="1:11">
      <c r="A301" s="120" t="s">
        <v>744</v>
      </c>
      <c r="B301" s="120" t="s">
        <v>399</v>
      </c>
      <c r="C301" s="120" t="s">
        <v>119</v>
      </c>
      <c r="D301" s="120" t="s">
        <v>325</v>
      </c>
      <c r="E301" s="120" t="s">
        <v>1609</v>
      </c>
      <c r="F301" s="121">
        <v>2016</v>
      </c>
      <c r="G301" s="120" t="s">
        <v>1593</v>
      </c>
      <c r="H301" s="120" t="s">
        <v>1612</v>
      </c>
      <c r="I301" s="120"/>
      <c r="J301" s="130">
        <v>1762.0982319479122</v>
      </c>
      <c r="K301" s="131" t="s">
        <v>71</v>
      </c>
    </row>
    <row r="302" spans="1:11">
      <c r="A302" s="120" t="s">
        <v>376</v>
      </c>
      <c r="B302" s="120" t="s">
        <v>377</v>
      </c>
      <c r="C302" s="120" t="s">
        <v>119</v>
      </c>
      <c r="D302" s="120" t="s">
        <v>325</v>
      </c>
      <c r="E302" s="120" t="s">
        <v>1609</v>
      </c>
      <c r="F302" s="121">
        <v>2016</v>
      </c>
      <c r="G302" s="120" t="s">
        <v>1593</v>
      </c>
      <c r="H302" s="120" t="s">
        <v>1612</v>
      </c>
      <c r="I302" s="120"/>
      <c r="J302" s="130">
        <v>2060.6318287789595</v>
      </c>
      <c r="K302" s="131" t="s">
        <v>71</v>
      </c>
    </row>
    <row r="303" spans="1:11">
      <c r="A303" s="120" t="s">
        <v>388</v>
      </c>
      <c r="B303" s="120" t="s">
        <v>389</v>
      </c>
      <c r="C303" s="120" t="s">
        <v>116</v>
      </c>
      <c r="D303" s="120" t="s">
        <v>322</v>
      </c>
      <c r="E303" s="120" t="s">
        <v>1609</v>
      </c>
      <c r="F303" s="121">
        <v>2016</v>
      </c>
      <c r="G303" s="120" t="s">
        <v>1593</v>
      </c>
      <c r="H303" s="120" t="s">
        <v>1612</v>
      </c>
      <c r="I303" s="120"/>
      <c r="J303" s="130">
        <v>3687.960295339069</v>
      </c>
      <c r="K303" s="131" t="s">
        <v>71</v>
      </c>
    </row>
    <row r="304" spans="1:11">
      <c r="A304" s="120" t="s">
        <v>396</v>
      </c>
      <c r="B304" s="120" t="s">
        <v>397</v>
      </c>
      <c r="C304" s="120" t="s">
        <v>116</v>
      </c>
      <c r="D304" s="120" t="s">
        <v>322</v>
      </c>
      <c r="E304" s="120" t="s">
        <v>1609</v>
      </c>
      <c r="F304" s="121">
        <v>2016</v>
      </c>
      <c r="G304" s="120" t="s">
        <v>1593</v>
      </c>
      <c r="H304" s="120" t="s">
        <v>1612</v>
      </c>
      <c r="I304" s="120"/>
      <c r="J304" s="130">
        <v>4973.776886166027</v>
      </c>
      <c r="K304" s="131" t="s">
        <v>71</v>
      </c>
    </row>
    <row r="305" spans="1:11">
      <c r="A305" s="120" t="s">
        <v>400</v>
      </c>
      <c r="B305" s="120" t="s">
        <v>401</v>
      </c>
      <c r="C305" s="120" t="s">
        <v>116</v>
      </c>
      <c r="D305" s="120" t="s">
        <v>322</v>
      </c>
      <c r="E305" s="120" t="s">
        <v>1609</v>
      </c>
      <c r="F305" s="121">
        <v>2016</v>
      </c>
      <c r="G305" s="120" t="s">
        <v>1593</v>
      </c>
      <c r="H305" s="120" t="s">
        <v>1612</v>
      </c>
      <c r="I305" s="120"/>
      <c r="J305" s="130">
        <v>1213.4501234540373</v>
      </c>
      <c r="K305" s="131" t="s">
        <v>71</v>
      </c>
    </row>
    <row r="306" spans="1:11">
      <c r="A306" s="120" t="s">
        <v>402</v>
      </c>
      <c r="B306" s="120" t="s">
        <v>403</v>
      </c>
      <c r="C306" s="120" t="s">
        <v>115</v>
      </c>
      <c r="D306" s="120" t="s">
        <v>121</v>
      </c>
      <c r="E306" s="120" t="s">
        <v>1609</v>
      </c>
      <c r="F306" s="121">
        <v>2016</v>
      </c>
      <c r="G306" s="120" t="s">
        <v>1593</v>
      </c>
      <c r="H306" s="120" t="s">
        <v>1612</v>
      </c>
      <c r="I306" s="120"/>
      <c r="J306" s="130">
        <v>1129.3701628511928</v>
      </c>
      <c r="K306" s="131" t="s">
        <v>71</v>
      </c>
    </row>
    <row r="307" spans="1:11">
      <c r="A307" s="120" t="s">
        <v>436</v>
      </c>
      <c r="B307" s="120" t="s">
        <v>437</v>
      </c>
      <c r="C307" s="120" t="s">
        <v>115</v>
      </c>
      <c r="D307" s="120" t="s">
        <v>121</v>
      </c>
      <c r="E307" s="120" t="s">
        <v>1609</v>
      </c>
      <c r="F307" s="121">
        <v>2016</v>
      </c>
      <c r="G307" s="120" t="s">
        <v>1593</v>
      </c>
      <c r="H307" s="120" t="s">
        <v>1612</v>
      </c>
      <c r="I307" s="120"/>
      <c r="J307" s="130">
        <v>2228.4863585692656</v>
      </c>
      <c r="K307" s="131" t="s">
        <v>71</v>
      </c>
    </row>
    <row r="308" spans="1:11">
      <c r="A308" s="120" t="s">
        <v>408</v>
      </c>
      <c r="B308" s="120" t="s">
        <v>409</v>
      </c>
      <c r="C308" s="120" t="s">
        <v>117</v>
      </c>
      <c r="D308" s="120" t="s">
        <v>325</v>
      </c>
      <c r="E308" s="120" t="s">
        <v>1609</v>
      </c>
      <c r="F308" s="121">
        <v>2016</v>
      </c>
      <c r="G308" s="120" t="s">
        <v>1593</v>
      </c>
      <c r="H308" s="120" t="s">
        <v>1612</v>
      </c>
      <c r="I308" s="120"/>
      <c r="J308" s="130">
        <v>395.05393607228905</v>
      </c>
      <c r="K308" s="131" t="s">
        <v>71</v>
      </c>
    </row>
    <row r="309" spans="1:11">
      <c r="A309" s="120" t="s">
        <v>406</v>
      </c>
      <c r="B309" s="120" t="s">
        <v>407</v>
      </c>
      <c r="C309" s="120" t="s">
        <v>115</v>
      </c>
      <c r="D309" s="120" t="s">
        <v>121</v>
      </c>
      <c r="E309" s="120" t="s">
        <v>1609</v>
      </c>
      <c r="F309" s="121">
        <v>2016</v>
      </c>
      <c r="G309" s="120" t="s">
        <v>1593</v>
      </c>
      <c r="H309" s="120" t="s">
        <v>1612</v>
      </c>
      <c r="I309" s="120"/>
      <c r="J309" s="130">
        <v>1060.8429235313856</v>
      </c>
      <c r="K309" s="131" t="s">
        <v>71</v>
      </c>
    </row>
    <row r="310" spans="1:11">
      <c r="A310" s="120" t="s">
        <v>412</v>
      </c>
      <c r="B310" s="120" t="s">
        <v>413</v>
      </c>
      <c r="C310" s="120" t="s">
        <v>116</v>
      </c>
      <c r="D310" s="120" t="s">
        <v>322</v>
      </c>
      <c r="E310" s="120" t="s">
        <v>1609</v>
      </c>
      <c r="F310" s="121">
        <v>2016</v>
      </c>
      <c r="G310" s="120" t="s">
        <v>1593</v>
      </c>
      <c r="H310" s="120" t="s">
        <v>1612</v>
      </c>
      <c r="I310" s="120"/>
      <c r="J310" s="130">
        <v>2453.1684500028632</v>
      </c>
      <c r="K310" s="131" t="s">
        <v>71</v>
      </c>
    </row>
    <row r="311" spans="1:11">
      <c r="A311" s="120" t="s">
        <v>323</v>
      </c>
      <c r="B311" s="120" t="s">
        <v>324</v>
      </c>
      <c r="C311" s="120" t="s">
        <v>117</v>
      </c>
      <c r="D311" s="120" t="s">
        <v>325</v>
      </c>
      <c r="E311" s="120" t="s">
        <v>1609</v>
      </c>
      <c r="F311" s="121">
        <v>2016</v>
      </c>
      <c r="G311" s="120" t="s">
        <v>1593</v>
      </c>
      <c r="H311" s="120" t="s">
        <v>1612</v>
      </c>
      <c r="I311" s="120"/>
      <c r="J311" s="130">
        <v>709.51399001941468</v>
      </c>
      <c r="K311" s="131" t="s">
        <v>71</v>
      </c>
    </row>
    <row r="312" spans="1:11">
      <c r="A312" s="120" t="s">
        <v>414</v>
      </c>
      <c r="B312" s="120" t="s">
        <v>415</v>
      </c>
      <c r="C312" s="120" t="s">
        <v>116</v>
      </c>
      <c r="D312" s="120" t="s">
        <v>322</v>
      </c>
      <c r="E312" s="120" t="s">
        <v>1609</v>
      </c>
      <c r="F312" s="121">
        <v>2016</v>
      </c>
      <c r="G312" s="120" t="s">
        <v>1593</v>
      </c>
      <c r="H312" s="120" t="s">
        <v>1612</v>
      </c>
      <c r="I312" s="120"/>
      <c r="J312" s="130">
        <v>4342.8811724077423</v>
      </c>
      <c r="K312" s="131" t="s">
        <v>71</v>
      </c>
    </row>
    <row r="313" spans="1:11">
      <c r="A313" s="120" t="s">
        <v>696</v>
      </c>
      <c r="B313" s="120" t="s">
        <v>697</v>
      </c>
      <c r="C313" s="120" t="s">
        <v>119</v>
      </c>
      <c r="D313" s="120" t="s">
        <v>319</v>
      </c>
      <c r="E313" s="120" t="s">
        <v>1609</v>
      </c>
      <c r="F313" s="121">
        <v>2016</v>
      </c>
      <c r="G313" s="120" t="s">
        <v>1593</v>
      </c>
      <c r="H313" s="120" t="s">
        <v>1612</v>
      </c>
      <c r="I313" s="120"/>
      <c r="J313" s="130">
        <v>334.97277445328774</v>
      </c>
      <c r="K313" s="131" t="s">
        <v>71</v>
      </c>
    </row>
    <row r="314" spans="1:11">
      <c r="A314" s="120" t="s">
        <v>612</v>
      </c>
      <c r="B314" s="120" t="s">
        <v>613</v>
      </c>
      <c r="C314" s="120" t="s">
        <v>115</v>
      </c>
      <c r="D314" s="120" t="s">
        <v>121</v>
      </c>
      <c r="E314" s="120" t="s">
        <v>1609</v>
      </c>
      <c r="F314" s="121">
        <v>2016</v>
      </c>
      <c r="G314" s="120" t="s">
        <v>1593</v>
      </c>
      <c r="H314" s="120" t="s">
        <v>1612</v>
      </c>
      <c r="I314" s="120"/>
      <c r="J314" s="130">
        <v>1079.4134521710282</v>
      </c>
      <c r="K314" s="131" t="s">
        <v>71</v>
      </c>
    </row>
    <row r="315" spans="1:11">
      <c r="A315" s="120" t="s">
        <v>424</v>
      </c>
      <c r="B315" s="120" t="s">
        <v>425</v>
      </c>
      <c r="C315" s="120" t="s">
        <v>119</v>
      </c>
      <c r="D315" s="120" t="s">
        <v>319</v>
      </c>
      <c r="E315" s="120" t="s">
        <v>1609</v>
      </c>
      <c r="F315" s="121">
        <v>2016</v>
      </c>
      <c r="G315" s="120" t="s">
        <v>1593</v>
      </c>
      <c r="H315" s="120" t="s">
        <v>1612</v>
      </c>
      <c r="I315" s="120"/>
      <c r="J315" s="130">
        <v>799.19844496368307</v>
      </c>
      <c r="K315" s="131" t="s">
        <v>71</v>
      </c>
    </row>
    <row r="316" spans="1:11">
      <c r="A316" s="120" t="s">
        <v>55</v>
      </c>
      <c r="B316" s="120" t="s">
        <v>56</v>
      </c>
      <c r="C316" s="120" t="s">
        <v>115</v>
      </c>
      <c r="D316" s="120" t="s">
        <v>121</v>
      </c>
      <c r="E316" s="120" t="s">
        <v>1609</v>
      </c>
      <c r="F316" s="121">
        <v>2016</v>
      </c>
      <c r="G316" s="120" t="s">
        <v>1593</v>
      </c>
      <c r="H316" s="120" t="s">
        <v>1612</v>
      </c>
      <c r="I316" s="120"/>
      <c r="J316" s="130">
        <v>4108.7704132208046</v>
      </c>
      <c r="K316" s="131" t="s">
        <v>71</v>
      </c>
    </row>
    <row r="317" spans="1:11">
      <c r="A317" s="120" t="s">
        <v>434</v>
      </c>
      <c r="B317" s="120" t="s">
        <v>435</v>
      </c>
      <c r="C317" s="120" t="s">
        <v>115</v>
      </c>
      <c r="D317" s="120" t="s">
        <v>322</v>
      </c>
      <c r="E317" s="120" t="s">
        <v>1609</v>
      </c>
      <c r="F317" s="121">
        <v>2016</v>
      </c>
      <c r="G317" s="120" t="s">
        <v>1593</v>
      </c>
      <c r="H317" s="120" t="s">
        <v>1612</v>
      </c>
      <c r="I317" s="120"/>
      <c r="J317" s="130">
        <v>1012.8902884251023</v>
      </c>
      <c r="K317" s="131" t="s">
        <v>71</v>
      </c>
    </row>
    <row r="318" spans="1:11">
      <c r="A318" s="120" t="s">
        <v>438</v>
      </c>
      <c r="B318" s="120" t="s">
        <v>439</v>
      </c>
      <c r="C318" s="120" t="s">
        <v>119</v>
      </c>
      <c r="D318" s="120" t="s">
        <v>325</v>
      </c>
      <c r="E318" s="120" t="s">
        <v>1609</v>
      </c>
      <c r="F318" s="121">
        <v>2016</v>
      </c>
      <c r="G318" s="120" t="s">
        <v>1593</v>
      </c>
      <c r="H318" s="120" t="s">
        <v>1612</v>
      </c>
      <c r="I318" s="120"/>
      <c r="J318" s="130">
        <v>1419.3928972040276</v>
      </c>
      <c r="K318" s="131" t="s">
        <v>71</v>
      </c>
    </row>
    <row r="319" spans="1:11">
      <c r="A319" s="120" t="s">
        <v>446</v>
      </c>
      <c r="B319" s="120" t="s">
        <v>447</v>
      </c>
      <c r="C319" s="120" t="s">
        <v>119</v>
      </c>
      <c r="D319" s="120" t="s">
        <v>325</v>
      </c>
      <c r="E319" s="120" t="s">
        <v>1609</v>
      </c>
      <c r="F319" s="121">
        <v>2016</v>
      </c>
      <c r="G319" s="120" t="s">
        <v>1593</v>
      </c>
      <c r="H319" s="120" t="s">
        <v>1612</v>
      </c>
      <c r="I319" s="120"/>
      <c r="J319" s="130">
        <v>2430.8874210880549</v>
      </c>
      <c r="K319" s="131" t="s">
        <v>71</v>
      </c>
    </row>
    <row r="320" spans="1:11">
      <c r="A320" s="120" t="s">
        <v>448</v>
      </c>
      <c r="B320" s="120" t="s">
        <v>449</v>
      </c>
      <c r="C320" s="120" t="s">
        <v>119</v>
      </c>
      <c r="D320" s="120" t="s">
        <v>319</v>
      </c>
      <c r="E320" s="120" t="s">
        <v>1609</v>
      </c>
      <c r="F320" s="121">
        <v>2016</v>
      </c>
      <c r="G320" s="120" t="s">
        <v>1593</v>
      </c>
      <c r="H320" s="120" t="s">
        <v>1612</v>
      </c>
      <c r="I320" s="120"/>
      <c r="J320" s="130">
        <v>1346.1683922771633</v>
      </c>
      <c r="K320" s="131" t="s">
        <v>71</v>
      </c>
    </row>
    <row r="321" spans="1:11">
      <c r="A321" s="120" t="s">
        <v>440</v>
      </c>
      <c r="B321" s="120" t="s">
        <v>441</v>
      </c>
      <c r="C321" s="120" t="s">
        <v>115</v>
      </c>
      <c r="D321" s="120" t="s">
        <v>121</v>
      </c>
      <c r="E321" s="120" t="s">
        <v>1609</v>
      </c>
      <c r="F321" s="121">
        <v>2016</v>
      </c>
      <c r="G321" s="120" t="s">
        <v>1593</v>
      </c>
      <c r="H321" s="120" t="s">
        <v>1612</v>
      </c>
      <c r="I321" s="120"/>
      <c r="J321" s="130">
        <v>1289.881919659251</v>
      </c>
      <c r="K321" s="131" t="s">
        <v>71</v>
      </c>
    </row>
    <row r="322" spans="1:11">
      <c r="A322" s="120" t="s">
        <v>444</v>
      </c>
      <c r="B322" s="120" t="s">
        <v>445</v>
      </c>
      <c r="C322" s="120" t="s">
        <v>116</v>
      </c>
      <c r="D322" s="120" t="s">
        <v>322</v>
      </c>
      <c r="E322" s="120" t="s">
        <v>1609</v>
      </c>
      <c r="F322" s="121">
        <v>2016</v>
      </c>
      <c r="G322" s="120" t="s">
        <v>1593</v>
      </c>
      <c r="H322" s="120" t="s">
        <v>1612</v>
      </c>
      <c r="I322" s="120"/>
      <c r="J322" s="130">
        <v>3709.0926191279104</v>
      </c>
      <c r="K322" s="131" t="s">
        <v>71</v>
      </c>
    </row>
    <row r="323" spans="1:11">
      <c r="A323" s="120" t="s">
        <v>450</v>
      </c>
      <c r="B323" s="120" t="s">
        <v>451</v>
      </c>
      <c r="C323" s="120" t="s">
        <v>116</v>
      </c>
      <c r="D323" s="120" t="s">
        <v>121</v>
      </c>
      <c r="E323" s="120" t="s">
        <v>1609</v>
      </c>
      <c r="F323" s="121">
        <v>2016</v>
      </c>
      <c r="G323" s="120" t="s">
        <v>1593</v>
      </c>
      <c r="H323" s="120" t="s">
        <v>1612</v>
      </c>
      <c r="I323" s="120"/>
      <c r="J323" s="130">
        <v>2568.4703603086846</v>
      </c>
      <c r="K323" s="131" t="s">
        <v>71</v>
      </c>
    </row>
    <row r="324" spans="1:11">
      <c r="A324" s="120" t="s">
        <v>454</v>
      </c>
      <c r="B324" s="120" t="s">
        <v>455</v>
      </c>
      <c r="C324" s="120" t="s">
        <v>116</v>
      </c>
      <c r="D324" s="120" t="s">
        <v>325</v>
      </c>
      <c r="E324" s="120" t="s">
        <v>1609</v>
      </c>
      <c r="F324" s="121">
        <v>2016</v>
      </c>
      <c r="G324" s="120" t="s">
        <v>1593</v>
      </c>
      <c r="H324" s="120" t="s">
        <v>1612</v>
      </c>
      <c r="I324" s="120"/>
      <c r="J324" s="130">
        <v>4055.6441261009536</v>
      </c>
      <c r="K324" s="131" t="s">
        <v>71</v>
      </c>
    </row>
    <row r="325" spans="1:11">
      <c r="A325" s="120" t="s">
        <v>452</v>
      </c>
      <c r="B325" s="120" t="s">
        <v>453</v>
      </c>
      <c r="C325" s="120" t="s">
        <v>116</v>
      </c>
      <c r="D325" s="120" t="s">
        <v>325</v>
      </c>
      <c r="E325" s="120" t="s">
        <v>1609</v>
      </c>
      <c r="F325" s="121">
        <v>2016</v>
      </c>
      <c r="G325" s="120" t="s">
        <v>1593</v>
      </c>
      <c r="H325" s="120" t="s">
        <v>1612</v>
      </c>
      <c r="I325" s="120"/>
      <c r="J325" s="130">
        <v>3531.8871986830982</v>
      </c>
      <c r="K325" s="131" t="s">
        <v>71</v>
      </c>
    </row>
    <row r="326" spans="1:11">
      <c r="A326" s="120" t="s">
        <v>462</v>
      </c>
      <c r="B326" s="120" t="s">
        <v>463</v>
      </c>
      <c r="C326" s="120" t="s">
        <v>118</v>
      </c>
      <c r="D326" s="120" t="s">
        <v>325</v>
      </c>
      <c r="E326" s="120" t="s">
        <v>1609</v>
      </c>
      <c r="F326" s="121">
        <v>2016</v>
      </c>
      <c r="G326" s="120" t="s">
        <v>1593</v>
      </c>
      <c r="H326" s="120" t="s">
        <v>1612</v>
      </c>
      <c r="I326" s="120"/>
      <c r="J326" s="130">
        <v>1170.1102928931596</v>
      </c>
      <c r="K326" s="131" t="s">
        <v>71</v>
      </c>
    </row>
    <row r="327" spans="1:11">
      <c r="A327" s="120" t="s">
        <v>468</v>
      </c>
      <c r="B327" s="120" t="s">
        <v>469</v>
      </c>
      <c r="C327" s="120" t="s">
        <v>117</v>
      </c>
      <c r="D327" s="120" t="s">
        <v>322</v>
      </c>
      <c r="E327" s="120" t="s">
        <v>1609</v>
      </c>
      <c r="F327" s="121">
        <v>2016</v>
      </c>
      <c r="G327" s="120" t="s">
        <v>1593</v>
      </c>
      <c r="H327" s="120" t="s">
        <v>1612</v>
      </c>
      <c r="I327" s="120"/>
      <c r="J327" s="130">
        <v>58.050430319176449</v>
      </c>
      <c r="K327" s="131" t="s">
        <v>71</v>
      </c>
    </row>
    <row r="328" spans="1:11">
      <c r="A328" s="120" t="s">
        <v>472</v>
      </c>
      <c r="B328" s="120" t="s">
        <v>473</v>
      </c>
      <c r="C328" s="120" t="s">
        <v>117</v>
      </c>
      <c r="D328" s="120" t="s">
        <v>121</v>
      </c>
      <c r="E328" s="120" t="s">
        <v>1609</v>
      </c>
      <c r="F328" s="121">
        <v>2016</v>
      </c>
      <c r="G328" s="120" t="s">
        <v>1593</v>
      </c>
      <c r="H328" s="120" t="s">
        <v>1612</v>
      </c>
      <c r="I328" s="120"/>
      <c r="J328" s="130">
        <v>430.42544043710245</v>
      </c>
      <c r="K328" s="131" t="s">
        <v>71</v>
      </c>
    </row>
    <row r="329" spans="1:11">
      <c r="A329" s="120" t="s">
        <v>474</v>
      </c>
      <c r="B329" s="120" t="s">
        <v>475</v>
      </c>
      <c r="C329" s="120" t="s">
        <v>115</v>
      </c>
      <c r="D329" s="120" t="s">
        <v>121</v>
      </c>
      <c r="E329" s="120" t="s">
        <v>1609</v>
      </c>
      <c r="F329" s="121">
        <v>2016</v>
      </c>
      <c r="G329" s="120" t="s">
        <v>1593</v>
      </c>
      <c r="H329" s="120" t="s">
        <v>1612</v>
      </c>
      <c r="I329" s="120"/>
      <c r="J329" s="130">
        <v>1584.0051145261136</v>
      </c>
      <c r="K329" s="131" t="s">
        <v>71</v>
      </c>
    </row>
    <row r="330" spans="1:11">
      <c r="A330" s="120" t="s">
        <v>476</v>
      </c>
      <c r="B330" s="120" t="s">
        <v>477</v>
      </c>
      <c r="C330" s="120" t="s">
        <v>116</v>
      </c>
      <c r="D330" s="120" t="s">
        <v>322</v>
      </c>
      <c r="E330" s="120" t="s">
        <v>1609</v>
      </c>
      <c r="F330" s="121">
        <v>2016</v>
      </c>
      <c r="G330" s="120" t="s">
        <v>1593</v>
      </c>
      <c r="H330" s="120" t="s">
        <v>1612</v>
      </c>
      <c r="I330" s="120"/>
      <c r="J330" s="130">
        <v>2359.0079397545383</v>
      </c>
      <c r="K330" s="131" t="s">
        <v>71</v>
      </c>
    </row>
    <row r="331" spans="1:11">
      <c r="A331" s="120" t="s">
        <v>480</v>
      </c>
      <c r="B331" s="120" t="s">
        <v>481</v>
      </c>
      <c r="C331" s="120" t="s">
        <v>117</v>
      </c>
      <c r="D331" s="120" t="s">
        <v>325</v>
      </c>
      <c r="E331" s="120" t="s">
        <v>1609</v>
      </c>
      <c r="F331" s="121">
        <v>2016</v>
      </c>
      <c r="G331" s="120" t="s">
        <v>1593</v>
      </c>
      <c r="H331" s="120" t="s">
        <v>1612</v>
      </c>
      <c r="I331" s="120"/>
      <c r="J331" s="130">
        <v>172.69071146878576</v>
      </c>
      <c r="K331" s="131" t="s">
        <v>71</v>
      </c>
    </row>
    <row r="332" spans="1:11">
      <c r="A332" s="120" t="s">
        <v>478</v>
      </c>
      <c r="B332" s="120" t="s">
        <v>479</v>
      </c>
      <c r="C332" s="120" t="s">
        <v>114</v>
      </c>
      <c r="D332" s="120" t="s">
        <v>121</v>
      </c>
      <c r="E332" s="120" t="s">
        <v>1609</v>
      </c>
      <c r="F332" s="121">
        <v>2016</v>
      </c>
      <c r="G332" s="120" t="s">
        <v>1593</v>
      </c>
      <c r="H332" s="120" t="s">
        <v>1612</v>
      </c>
      <c r="I332" s="120"/>
      <c r="J332" s="130">
        <v>1657.9272655372538</v>
      </c>
      <c r="K332" s="131" t="s">
        <v>71</v>
      </c>
    </row>
    <row r="333" spans="1:11">
      <c r="A333" s="120" t="s">
        <v>482</v>
      </c>
      <c r="B333" s="120" t="s">
        <v>483</v>
      </c>
      <c r="C333" s="120" t="s">
        <v>115</v>
      </c>
      <c r="D333" s="120" t="s">
        <v>322</v>
      </c>
      <c r="E333" s="120" t="s">
        <v>1609</v>
      </c>
      <c r="F333" s="121">
        <v>2016</v>
      </c>
      <c r="G333" s="120" t="s">
        <v>1593</v>
      </c>
      <c r="H333" s="120" t="s">
        <v>1612</v>
      </c>
      <c r="I333" s="120"/>
      <c r="J333" s="130">
        <v>144.89436349209464</v>
      </c>
      <c r="K333" s="131" t="s">
        <v>71</v>
      </c>
    </row>
    <row r="334" spans="1:11">
      <c r="A334" s="120" t="s">
        <v>484</v>
      </c>
      <c r="B334" s="120" t="s">
        <v>485</v>
      </c>
      <c r="C334" s="120" t="s">
        <v>119</v>
      </c>
      <c r="D334" s="120" t="s">
        <v>325</v>
      </c>
      <c r="E334" s="120" t="s">
        <v>1609</v>
      </c>
      <c r="F334" s="121">
        <v>2016</v>
      </c>
      <c r="G334" s="120" t="s">
        <v>1593</v>
      </c>
      <c r="H334" s="120" t="s">
        <v>1612</v>
      </c>
      <c r="I334" s="120"/>
      <c r="J334" s="130">
        <v>228.40854244248644</v>
      </c>
      <c r="K334" s="131" t="s">
        <v>71</v>
      </c>
    </row>
    <row r="335" spans="1:11">
      <c r="A335" s="120" t="s">
        <v>374</v>
      </c>
      <c r="B335" s="120" t="s">
        <v>375</v>
      </c>
      <c r="C335" s="120" t="s">
        <v>114</v>
      </c>
      <c r="D335" s="120" t="s">
        <v>325</v>
      </c>
      <c r="E335" s="120" t="s">
        <v>1609</v>
      </c>
      <c r="F335" s="121">
        <v>2016</v>
      </c>
      <c r="G335" s="120" t="s">
        <v>1593</v>
      </c>
      <c r="H335" s="120" t="s">
        <v>1612</v>
      </c>
      <c r="I335" s="120"/>
      <c r="J335" s="130">
        <v>1537.3259779178904</v>
      </c>
      <c r="K335" s="131" t="s">
        <v>71</v>
      </c>
    </row>
    <row r="336" spans="1:11">
      <c r="A336" s="120" t="s">
        <v>700</v>
      </c>
      <c r="B336" s="120" t="s">
        <v>701</v>
      </c>
      <c r="C336" s="120" t="s">
        <v>117</v>
      </c>
      <c r="D336" s="120" t="s">
        <v>121</v>
      </c>
      <c r="E336" s="120" t="s">
        <v>1609</v>
      </c>
      <c r="F336" s="121">
        <v>2016</v>
      </c>
      <c r="G336" s="120" t="s">
        <v>1593</v>
      </c>
      <c r="H336" s="120" t="s">
        <v>1612</v>
      </c>
      <c r="I336" s="120"/>
      <c r="J336" s="130">
        <v>111.95421999823667</v>
      </c>
      <c r="K336" s="131" t="s">
        <v>71</v>
      </c>
    </row>
    <row r="337" spans="1:11">
      <c r="A337" s="120" t="s">
        <v>496</v>
      </c>
      <c r="B337" s="120" t="s">
        <v>497</v>
      </c>
      <c r="C337" s="120" t="s">
        <v>117</v>
      </c>
      <c r="D337" s="120" t="s">
        <v>325</v>
      </c>
      <c r="E337" s="120" t="s">
        <v>1609</v>
      </c>
      <c r="F337" s="121">
        <v>2016</v>
      </c>
      <c r="G337" s="120" t="s">
        <v>1593</v>
      </c>
      <c r="H337" s="120" t="s">
        <v>1612</v>
      </c>
      <c r="I337" s="120"/>
      <c r="J337" s="130">
        <v>1152.0550691142296</v>
      </c>
      <c r="K337" s="131" t="s">
        <v>71</v>
      </c>
    </row>
    <row r="338" spans="1:11">
      <c r="A338" s="120" t="s">
        <v>500</v>
      </c>
      <c r="B338" s="120" t="s">
        <v>501</v>
      </c>
      <c r="C338" s="120" t="s">
        <v>119</v>
      </c>
      <c r="D338" s="120" t="s">
        <v>319</v>
      </c>
      <c r="E338" s="120" t="s">
        <v>1609</v>
      </c>
      <c r="F338" s="121">
        <v>2016</v>
      </c>
      <c r="G338" s="120" t="s">
        <v>1593</v>
      </c>
      <c r="H338" s="120" t="s">
        <v>1612</v>
      </c>
      <c r="I338" s="120"/>
      <c r="J338" s="130">
        <v>2637.4436017295757</v>
      </c>
      <c r="K338" s="131" t="s">
        <v>71</v>
      </c>
    </row>
    <row r="339" spans="1:11">
      <c r="A339" s="120" t="s">
        <v>702</v>
      </c>
      <c r="B339" s="120" t="s">
        <v>703</v>
      </c>
      <c r="C339" s="120" t="s">
        <v>117</v>
      </c>
      <c r="D339" s="120" t="s">
        <v>322</v>
      </c>
      <c r="E339" s="120" t="s">
        <v>1609</v>
      </c>
      <c r="F339" s="121">
        <v>2016</v>
      </c>
      <c r="G339" s="120" t="s">
        <v>1593</v>
      </c>
      <c r="H339" s="120" t="s">
        <v>1612</v>
      </c>
      <c r="I339" s="120"/>
      <c r="J339" s="130">
        <v>454.31227131390023</v>
      </c>
      <c r="K339" s="131" t="s">
        <v>71</v>
      </c>
    </row>
    <row r="340" spans="1:11">
      <c r="A340" s="120" t="s">
        <v>614</v>
      </c>
      <c r="B340" s="120" t="s">
        <v>615</v>
      </c>
      <c r="C340" s="120" t="s">
        <v>118</v>
      </c>
      <c r="D340" s="120" t="s">
        <v>325</v>
      </c>
      <c r="E340" s="120" t="s">
        <v>1609</v>
      </c>
      <c r="F340" s="121">
        <v>2016</v>
      </c>
      <c r="G340" s="120" t="s">
        <v>1593</v>
      </c>
      <c r="H340" s="120" t="s">
        <v>1612</v>
      </c>
      <c r="I340" s="120"/>
      <c r="J340" s="130">
        <v>2391.7541290404756</v>
      </c>
      <c r="K340" s="131" t="s">
        <v>71</v>
      </c>
    </row>
    <row r="341" spans="1:11">
      <c r="A341" s="120" t="s">
        <v>498</v>
      </c>
      <c r="B341" s="120" t="s">
        <v>499</v>
      </c>
      <c r="C341" s="120" t="s">
        <v>119</v>
      </c>
      <c r="D341" s="120" t="s">
        <v>325</v>
      </c>
      <c r="E341" s="120" t="s">
        <v>1609</v>
      </c>
      <c r="F341" s="121">
        <v>2016</v>
      </c>
      <c r="G341" s="120" t="s">
        <v>1593</v>
      </c>
      <c r="H341" s="120" t="s">
        <v>1612</v>
      </c>
      <c r="I341" s="120"/>
      <c r="J341" s="130">
        <v>569.80182139637498</v>
      </c>
      <c r="K341" s="131" t="s">
        <v>71</v>
      </c>
    </row>
    <row r="342" spans="1:11">
      <c r="A342" s="120" t="s">
        <v>504</v>
      </c>
      <c r="B342" s="120" t="s">
        <v>505</v>
      </c>
      <c r="C342" s="120" t="s">
        <v>115</v>
      </c>
      <c r="D342" s="120" t="s">
        <v>121</v>
      </c>
      <c r="E342" s="120" t="s">
        <v>1609</v>
      </c>
      <c r="F342" s="121">
        <v>2016</v>
      </c>
      <c r="G342" s="120" t="s">
        <v>1593</v>
      </c>
      <c r="H342" s="120" t="s">
        <v>1612</v>
      </c>
      <c r="I342" s="120"/>
      <c r="J342" s="130">
        <v>2025.746832818106</v>
      </c>
      <c r="K342" s="131" t="s">
        <v>71</v>
      </c>
    </row>
    <row r="343" spans="1:11">
      <c r="A343" s="120" t="s">
        <v>536</v>
      </c>
      <c r="B343" s="120" t="s">
        <v>537</v>
      </c>
      <c r="C343" s="120" t="s">
        <v>117</v>
      </c>
      <c r="D343" s="120" t="s">
        <v>325</v>
      </c>
      <c r="E343" s="120" t="s">
        <v>1609</v>
      </c>
      <c r="F343" s="121">
        <v>2016</v>
      </c>
      <c r="G343" s="120" t="s">
        <v>1593</v>
      </c>
      <c r="H343" s="120" t="s">
        <v>1612</v>
      </c>
      <c r="I343" s="120"/>
      <c r="J343" s="130">
        <v>868.85141155510257</v>
      </c>
      <c r="K343" s="131" t="s">
        <v>71</v>
      </c>
    </row>
    <row r="344" spans="1:11">
      <c r="A344" s="120" t="s">
        <v>530</v>
      </c>
      <c r="B344" s="120" t="s">
        <v>531</v>
      </c>
      <c r="C344" s="120" t="s">
        <v>115</v>
      </c>
      <c r="D344" s="120" t="s">
        <v>322</v>
      </c>
      <c r="E344" s="120" t="s">
        <v>1609</v>
      </c>
      <c r="F344" s="121">
        <v>2016</v>
      </c>
      <c r="G344" s="120" t="s">
        <v>1593</v>
      </c>
      <c r="H344" s="120" t="s">
        <v>1612</v>
      </c>
      <c r="I344" s="120"/>
      <c r="J344" s="130">
        <v>972.22010314567467</v>
      </c>
      <c r="K344" s="131" t="s">
        <v>71</v>
      </c>
    </row>
    <row r="345" spans="1:11">
      <c r="A345" s="120" t="s">
        <v>510</v>
      </c>
      <c r="B345" s="120" t="s">
        <v>511</v>
      </c>
      <c r="C345" s="120" t="s">
        <v>119</v>
      </c>
      <c r="D345" s="120" t="s">
        <v>319</v>
      </c>
      <c r="E345" s="120" t="s">
        <v>1609</v>
      </c>
      <c r="F345" s="121">
        <v>2016</v>
      </c>
      <c r="G345" s="120" t="s">
        <v>1593</v>
      </c>
      <c r="H345" s="120" t="s">
        <v>1612</v>
      </c>
      <c r="I345" s="120"/>
      <c r="J345" s="130">
        <v>1749.2242334450852</v>
      </c>
      <c r="K345" s="131" t="s">
        <v>71</v>
      </c>
    </row>
    <row r="346" spans="1:11">
      <c r="A346" s="120" t="s">
        <v>526</v>
      </c>
      <c r="B346" s="120" t="s">
        <v>527</v>
      </c>
      <c r="C346" s="120" t="s">
        <v>116</v>
      </c>
      <c r="D346" s="120" t="s">
        <v>322</v>
      </c>
      <c r="E346" s="120" t="s">
        <v>1609</v>
      </c>
      <c r="F346" s="121">
        <v>2016</v>
      </c>
      <c r="G346" s="120" t="s">
        <v>1593</v>
      </c>
      <c r="H346" s="120" t="s">
        <v>1612</v>
      </c>
      <c r="I346" s="120"/>
      <c r="J346" s="130">
        <v>1528.9430465153464</v>
      </c>
      <c r="K346" s="131" t="s">
        <v>71</v>
      </c>
    </row>
    <row r="347" spans="1:11">
      <c r="A347" s="120" t="s">
        <v>518</v>
      </c>
      <c r="B347" s="120" t="s">
        <v>519</v>
      </c>
      <c r="C347" s="120" t="s">
        <v>119</v>
      </c>
      <c r="D347" s="120" t="s">
        <v>319</v>
      </c>
      <c r="E347" s="120" t="s">
        <v>1609</v>
      </c>
      <c r="F347" s="121">
        <v>2016</v>
      </c>
      <c r="G347" s="120" t="s">
        <v>1593</v>
      </c>
      <c r="H347" s="120" t="s">
        <v>1612</v>
      </c>
      <c r="I347" s="120"/>
      <c r="J347" s="130">
        <v>433.52970278829605</v>
      </c>
      <c r="K347" s="131" t="s">
        <v>71</v>
      </c>
    </row>
    <row r="348" spans="1:11">
      <c r="A348" s="120" t="s">
        <v>540</v>
      </c>
      <c r="B348" s="120" t="s">
        <v>541</v>
      </c>
      <c r="C348" s="120" t="s">
        <v>114</v>
      </c>
      <c r="D348" s="120" t="s">
        <v>325</v>
      </c>
      <c r="E348" s="120" t="s">
        <v>1609</v>
      </c>
      <c r="F348" s="121">
        <v>2016</v>
      </c>
      <c r="G348" s="120" t="s">
        <v>1593</v>
      </c>
      <c r="H348" s="120" t="s">
        <v>1612</v>
      </c>
      <c r="I348" s="120"/>
      <c r="J348" s="130">
        <v>3725.4295097214963</v>
      </c>
      <c r="K348" s="131" t="s">
        <v>71</v>
      </c>
    </row>
    <row r="349" spans="1:11">
      <c r="A349" s="120" t="s">
        <v>534</v>
      </c>
      <c r="B349" s="120" t="s">
        <v>535</v>
      </c>
      <c r="C349" s="120" t="s">
        <v>115</v>
      </c>
      <c r="D349" s="120" t="s">
        <v>322</v>
      </c>
      <c r="E349" s="120" t="s">
        <v>1609</v>
      </c>
      <c r="F349" s="121">
        <v>2016</v>
      </c>
      <c r="G349" s="120" t="s">
        <v>1593</v>
      </c>
      <c r="H349" s="120" t="s">
        <v>1612</v>
      </c>
      <c r="I349" s="120"/>
      <c r="J349" s="130">
        <v>2902.2908271395768</v>
      </c>
      <c r="K349" s="131" t="s">
        <v>71</v>
      </c>
    </row>
    <row r="350" spans="1:11">
      <c r="A350" s="120" t="s">
        <v>532</v>
      </c>
      <c r="B350" s="120" t="s">
        <v>533</v>
      </c>
      <c r="C350" s="120" t="s">
        <v>114</v>
      </c>
      <c r="D350" s="120" t="s">
        <v>325</v>
      </c>
      <c r="E350" s="120" t="s">
        <v>1609</v>
      </c>
      <c r="F350" s="121">
        <v>2016</v>
      </c>
      <c r="G350" s="120" t="s">
        <v>1593</v>
      </c>
      <c r="H350" s="120" t="s">
        <v>1612</v>
      </c>
      <c r="I350" s="120"/>
      <c r="J350" s="130">
        <v>441.3041391018026</v>
      </c>
      <c r="K350" s="131" t="s">
        <v>71</v>
      </c>
    </row>
    <row r="351" spans="1:11">
      <c r="A351" s="120" t="s">
        <v>538</v>
      </c>
      <c r="B351" s="120" t="s">
        <v>539</v>
      </c>
      <c r="C351" s="120" t="s">
        <v>119</v>
      </c>
      <c r="D351" s="120" t="s">
        <v>319</v>
      </c>
      <c r="E351" s="120" t="s">
        <v>1609</v>
      </c>
      <c r="F351" s="121">
        <v>2016</v>
      </c>
      <c r="G351" s="120" t="s">
        <v>1593</v>
      </c>
      <c r="H351" s="120" t="s">
        <v>1612</v>
      </c>
      <c r="I351" s="120"/>
      <c r="J351" s="130">
        <v>1285.8775097811169</v>
      </c>
      <c r="K351" s="131" t="s">
        <v>71</v>
      </c>
    </row>
    <row r="352" spans="1:11">
      <c r="A352" s="120" t="s">
        <v>522</v>
      </c>
      <c r="B352" s="120" t="s">
        <v>523</v>
      </c>
      <c r="C352" s="120" t="s">
        <v>119</v>
      </c>
      <c r="D352" s="120" t="s">
        <v>325</v>
      </c>
      <c r="E352" s="120" t="s">
        <v>1609</v>
      </c>
      <c r="F352" s="121">
        <v>2016</v>
      </c>
      <c r="G352" s="120" t="s">
        <v>1593</v>
      </c>
      <c r="H352" s="120" t="s">
        <v>1612</v>
      </c>
      <c r="I352" s="120"/>
      <c r="J352" s="130">
        <v>2101.2658012092224</v>
      </c>
      <c r="K352" s="131" t="s">
        <v>71</v>
      </c>
    </row>
    <row r="353" spans="1:11">
      <c r="A353" s="120" t="s">
        <v>512</v>
      </c>
      <c r="B353" s="120" t="s">
        <v>513</v>
      </c>
      <c r="C353" s="120" t="s">
        <v>119</v>
      </c>
      <c r="D353" s="120" t="s">
        <v>319</v>
      </c>
      <c r="E353" s="120" t="s">
        <v>1609</v>
      </c>
      <c r="F353" s="121">
        <v>2016</v>
      </c>
      <c r="G353" s="120" t="s">
        <v>1593</v>
      </c>
      <c r="H353" s="120" t="s">
        <v>1612</v>
      </c>
      <c r="I353" s="120"/>
      <c r="J353" s="130">
        <v>1228.683053502976</v>
      </c>
      <c r="K353" s="131" t="s">
        <v>71</v>
      </c>
    </row>
    <row r="354" spans="1:11">
      <c r="A354" s="120" t="s">
        <v>514</v>
      </c>
      <c r="B354" s="120" t="s">
        <v>515</v>
      </c>
      <c r="C354" s="120" t="s">
        <v>114</v>
      </c>
      <c r="D354" s="120" t="s">
        <v>322</v>
      </c>
      <c r="E354" s="120" t="s">
        <v>1609</v>
      </c>
      <c r="F354" s="121">
        <v>2016</v>
      </c>
      <c r="G354" s="120" t="s">
        <v>1593</v>
      </c>
      <c r="H354" s="120" t="s">
        <v>1612</v>
      </c>
      <c r="I354" s="120"/>
      <c r="J354" s="130">
        <v>4474.3286621613479</v>
      </c>
      <c r="K354" s="131" t="s">
        <v>71</v>
      </c>
    </row>
    <row r="355" spans="1:11">
      <c r="A355" s="120" t="s">
        <v>542</v>
      </c>
      <c r="B355" s="120" t="s">
        <v>543</v>
      </c>
      <c r="C355" s="120" t="s">
        <v>119</v>
      </c>
      <c r="D355" s="120" t="s">
        <v>322</v>
      </c>
      <c r="E355" s="120" t="s">
        <v>1609</v>
      </c>
      <c r="F355" s="121">
        <v>2016</v>
      </c>
      <c r="G355" s="120" t="s">
        <v>1593</v>
      </c>
      <c r="H355" s="120" t="s">
        <v>1612</v>
      </c>
      <c r="I355" s="120"/>
      <c r="J355" s="130">
        <v>1818.9918848653244</v>
      </c>
      <c r="K355" s="131" t="s">
        <v>71</v>
      </c>
    </row>
    <row r="356" spans="1:11">
      <c r="A356" s="120" t="s">
        <v>552</v>
      </c>
      <c r="B356" s="120" t="s">
        <v>553</v>
      </c>
      <c r="C356" s="120" t="s">
        <v>119</v>
      </c>
      <c r="D356" s="120" t="s">
        <v>319</v>
      </c>
      <c r="E356" s="120" t="s">
        <v>1609</v>
      </c>
      <c r="F356" s="121">
        <v>2016</v>
      </c>
      <c r="G356" s="120" t="s">
        <v>1593</v>
      </c>
      <c r="H356" s="120" t="s">
        <v>1612</v>
      </c>
      <c r="I356" s="120"/>
      <c r="J356" s="130">
        <v>1657.5449944380648</v>
      </c>
      <c r="K356" s="131" t="s">
        <v>71</v>
      </c>
    </row>
    <row r="357" spans="1:11">
      <c r="A357" s="120" t="s">
        <v>554</v>
      </c>
      <c r="B357" s="120" t="s">
        <v>555</v>
      </c>
      <c r="C357" s="120" t="s">
        <v>119</v>
      </c>
      <c r="D357" s="120" t="s">
        <v>325</v>
      </c>
      <c r="E357" s="120" t="s">
        <v>1609</v>
      </c>
      <c r="F357" s="121">
        <v>2016</v>
      </c>
      <c r="G357" s="120" t="s">
        <v>1593</v>
      </c>
      <c r="H357" s="120" t="s">
        <v>1612</v>
      </c>
      <c r="I357" s="120"/>
      <c r="J357" s="130">
        <v>1289.7326914016026</v>
      </c>
      <c r="K357" s="131" t="s">
        <v>71</v>
      </c>
    </row>
    <row r="358" spans="1:11">
      <c r="A358" s="120" t="s">
        <v>550</v>
      </c>
      <c r="B358" s="120" t="s">
        <v>551</v>
      </c>
      <c r="C358" s="120" t="s">
        <v>116</v>
      </c>
      <c r="D358" s="120" t="s">
        <v>325</v>
      </c>
      <c r="E358" s="120" t="s">
        <v>1609</v>
      </c>
      <c r="F358" s="121">
        <v>2016</v>
      </c>
      <c r="G358" s="120" t="s">
        <v>1593</v>
      </c>
      <c r="H358" s="120" t="s">
        <v>1612</v>
      </c>
      <c r="I358" s="120"/>
      <c r="J358" s="130">
        <v>2304.8326421488382</v>
      </c>
      <c r="K358" s="131" t="s">
        <v>71</v>
      </c>
    </row>
    <row r="359" spans="1:11">
      <c r="A359" s="120" t="s">
        <v>546</v>
      </c>
      <c r="B359" s="120" t="s">
        <v>547</v>
      </c>
      <c r="C359" s="120" t="s">
        <v>115</v>
      </c>
      <c r="D359" s="120" t="s">
        <v>121</v>
      </c>
      <c r="E359" s="120" t="s">
        <v>1609</v>
      </c>
      <c r="F359" s="121">
        <v>2016</v>
      </c>
      <c r="G359" s="120" t="s">
        <v>1593</v>
      </c>
      <c r="H359" s="120" t="s">
        <v>1612</v>
      </c>
      <c r="I359" s="120"/>
      <c r="J359" s="130">
        <v>1297.6602713561156</v>
      </c>
      <c r="K359" s="131" t="s">
        <v>71</v>
      </c>
    </row>
    <row r="360" spans="1:11">
      <c r="A360" s="120" t="s">
        <v>544</v>
      </c>
      <c r="B360" s="120" t="s">
        <v>545</v>
      </c>
      <c r="C360" s="120" t="s">
        <v>118</v>
      </c>
      <c r="D360" s="120" t="s">
        <v>325</v>
      </c>
      <c r="E360" s="120" t="s">
        <v>1609</v>
      </c>
      <c r="F360" s="121">
        <v>2016</v>
      </c>
      <c r="G360" s="120" t="s">
        <v>1593</v>
      </c>
      <c r="H360" s="120" t="s">
        <v>1612</v>
      </c>
      <c r="I360" s="120"/>
      <c r="J360" s="130">
        <v>5930.5190925219176</v>
      </c>
      <c r="K360" s="131" t="s">
        <v>71</v>
      </c>
    </row>
    <row r="361" spans="1:11">
      <c r="A361" s="120" t="s">
        <v>548</v>
      </c>
      <c r="B361" s="120" t="s">
        <v>549</v>
      </c>
      <c r="C361" s="120" t="s">
        <v>114</v>
      </c>
      <c r="D361" s="120" t="s">
        <v>121</v>
      </c>
      <c r="E361" s="120" t="s">
        <v>1609</v>
      </c>
      <c r="F361" s="121">
        <v>2016</v>
      </c>
      <c r="G361" s="120" t="s">
        <v>1593</v>
      </c>
      <c r="H361" s="120" t="s">
        <v>1612</v>
      </c>
      <c r="I361" s="120"/>
      <c r="J361" s="130">
        <v>7747.9003987470433</v>
      </c>
      <c r="K361" s="131" t="s">
        <v>71</v>
      </c>
    </row>
    <row r="362" spans="1:11">
      <c r="A362" s="120" t="s">
        <v>710</v>
      </c>
      <c r="B362" s="120" t="s">
        <v>711</v>
      </c>
      <c r="C362" s="120" t="s">
        <v>117</v>
      </c>
      <c r="D362" s="120" t="s">
        <v>121</v>
      </c>
      <c r="E362" s="120" t="s">
        <v>1609</v>
      </c>
      <c r="F362" s="121">
        <v>2016</v>
      </c>
      <c r="G362" s="120" t="s">
        <v>1593</v>
      </c>
      <c r="H362" s="120" t="s">
        <v>1612</v>
      </c>
      <c r="I362" s="120"/>
      <c r="J362" s="130">
        <v>166.31646156175759</v>
      </c>
      <c r="K362" s="131" t="s">
        <v>71</v>
      </c>
    </row>
    <row r="363" spans="1:11">
      <c r="A363" s="120" t="s">
        <v>558</v>
      </c>
      <c r="B363" s="120" t="s">
        <v>559</v>
      </c>
      <c r="C363" s="120" t="s">
        <v>118</v>
      </c>
      <c r="D363" s="120" t="s">
        <v>325</v>
      </c>
      <c r="E363" s="120" t="s">
        <v>1609</v>
      </c>
      <c r="F363" s="121">
        <v>2016</v>
      </c>
      <c r="G363" s="120" t="s">
        <v>1593</v>
      </c>
      <c r="H363" s="120" t="s">
        <v>1612</v>
      </c>
      <c r="I363" s="120"/>
      <c r="J363" s="130">
        <v>500.46773584472044</v>
      </c>
      <c r="K363" s="131" t="s">
        <v>71</v>
      </c>
    </row>
    <row r="364" spans="1:11">
      <c r="A364" s="120" t="s">
        <v>562</v>
      </c>
      <c r="B364" s="120" t="s">
        <v>563</v>
      </c>
      <c r="C364" s="120" t="s">
        <v>116</v>
      </c>
      <c r="D364" s="120" t="s">
        <v>121</v>
      </c>
      <c r="E364" s="120" t="s">
        <v>1609</v>
      </c>
      <c r="F364" s="121">
        <v>2016</v>
      </c>
      <c r="G364" s="120" t="s">
        <v>1593</v>
      </c>
      <c r="H364" s="120" t="s">
        <v>1612</v>
      </c>
      <c r="I364" s="120"/>
      <c r="J364" s="130">
        <v>4182.5391027845808</v>
      </c>
      <c r="K364" s="131" t="s">
        <v>71</v>
      </c>
    </row>
    <row r="365" spans="1:11">
      <c r="A365" s="120" t="s">
        <v>568</v>
      </c>
      <c r="B365" s="120" t="s">
        <v>569</v>
      </c>
      <c r="C365" s="120" t="s">
        <v>116</v>
      </c>
      <c r="D365" s="120" t="s">
        <v>322</v>
      </c>
      <c r="E365" s="120" t="s">
        <v>1609</v>
      </c>
      <c r="F365" s="121">
        <v>2016</v>
      </c>
      <c r="G365" s="120" t="s">
        <v>1593</v>
      </c>
      <c r="H365" s="120" t="s">
        <v>1612</v>
      </c>
      <c r="I365" s="120"/>
      <c r="J365" s="130">
        <v>4039.2652669454264</v>
      </c>
      <c r="K365" s="131" t="s">
        <v>71</v>
      </c>
    </row>
    <row r="366" spans="1:11">
      <c r="A366" s="120" t="s">
        <v>570</v>
      </c>
      <c r="B366" s="120" t="s">
        <v>571</v>
      </c>
      <c r="C366" s="120" t="s">
        <v>114</v>
      </c>
      <c r="D366" s="120" t="s">
        <v>325</v>
      </c>
      <c r="E366" s="120" t="s">
        <v>1609</v>
      </c>
      <c r="F366" s="121">
        <v>2016</v>
      </c>
      <c r="G366" s="120" t="s">
        <v>1593</v>
      </c>
      <c r="H366" s="120" t="s">
        <v>1612</v>
      </c>
      <c r="I366" s="120"/>
      <c r="J366" s="130">
        <v>4977.1268616838743</v>
      </c>
      <c r="K366" s="131" t="s">
        <v>71</v>
      </c>
    </row>
    <row r="367" spans="1:11">
      <c r="A367" s="120" t="s">
        <v>572</v>
      </c>
      <c r="B367" s="120" t="s">
        <v>573</v>
      </c>
      <c r="C367" s="120" t="s">
        <v>115</v>
      </c>
      <c r="D367" s="120" t="s">
        <v>121</v>
      </c>
      <c r="E367" s="120" t="s">
        <v>1609</v>
      </c>
      <c r="F367" s="121">
        <v>2016</v>
      </c>
      <c r="G367" s="120" t="s">
        <v>1593</v>
      </c>
      <c r="H367" s="120" t="s">
        <v>1612</v>
      </c>
      <c r="I367" s="120"/>
      <c r="J367" s="130">
        <v>1587.622344358969</v>
      </c>
      <c r="K367" s="131" t="s">
        <v>71</v>
      </c>
    </row>
    <row r="368" spans="1:11">
      <c r="A368" s="120" t="s">
        <v>574</v>
      </c>
      <c r="B368" s="120" t="s">
        <v>575</v>
      </c>
      <c r="C368" s="120" t="s">
        <v>115</v>
      </c>
      <c r="D368" s="120" t="s">
        <v>121</v>
      </c>
      <c r="E368" s="120" t="s">
        <v>1609</v>
      </c>
      <c r="F368" s="121">
        <v>2016</v>
      </c>
      <c r="G368" s="120" t="s">
        <v>1593</v>
      </c>
      <c r="H368" s="120" t="s">
        <v>1612</v>
      </c>
      <c r="I368" s="120"/>
      <c r="J368" s="130">
        <v>2204.6405691531222</v>
      </c>
      <c r="K368" s="131" t="s">
        <v>71</v>
      </c>
    </row>
    <row r="369" spans="1:11">
      <c r="A369" s="120" t="s">
        <v>566</v>
      </c>
      <c r="B369" s="120" t="s">
        <v>567</v>
      </c>
      <c r="C369" s="120" t="s">
        <v>116</v>
      </c>
      <c r="D369" s="120" t="s">
        <v>322</v>
      </c>
      <c r="E369" s="120" t="s">
        <v>1609</v>
      </c>
      <c r="F369" s="121">
        <v>2016</v>
      </c>
      <c r="G369" s="120" t="s">
        <v>1593</v>
      </c>
      <c r="H369" s="120" t="s">
        <v>1612</v>
      </c>
      <c r="I369" s="120"/>
      <c r="J369" s="130">
        <v>1084.2260527859894</v>
      </c>
      <c r="K369" s="131" t="s">
        <v>71</v>
      </c>
    </row>
    <row r="370" spans="1:11">
      <c r="A370" s="120" t="s">
        <v>578</v>
      </c>
      <c r="B370" s="120" t="s">
        <v>579</v>
      </c>
      <c r="C370" s="120" t="s">
        <v>117</v>
      </c>
      <c r="D370" s="120" t="s">
        <v>121</v>
      </c>
      <c r="E370" s="120" t="s">
        <v>1609</v>
      </c>
      <c r="F370" s="121">
        <v>2016</v>
      </c>
      <c r="G370" s="120" t="s">
        <v>1593</v>
      </c>
      <c r="H370" s="120" t="s">
        <v>1612</v>
      </c>
      <c r="I370" s="120"/>
      <c r="J370" s="130">
        <v>142.87073172530637</v>
      </c>
      <c r="K370" s="131" t="s">
        <v>71</v>
      </c>
    </row>
    <row r="371" spans="1:11">
      <c r="A371" s="120" t="s">
        <v>580</v>
      </c>
      <c r="B371" s="120" t="s">
        <v>581</v>
      </c>
      <c r="C371" s="120" t="s">
        <v>115</v>
      </c>
      <c r="D371" s="120" t="s">
        <v>121</v>
      </c>
      <c r="E371" s="120" t="s">
        <v>1609</v>
      </c>
      <c r="F371" s="121">
        <v>2016</v>
      </c>
      <c r="G371" s="120" t="s">
        <v>1593</v>
      </c>
      <c r="H371" s="120" t="s">
        <v>1612</v>
      </c>
      <c r="I371" s="120"/>
      <c r="J371" s="130">
        <v>991.89789883099979</v>
      </c>
      <c r="K371" s="131" t="s">
        <v>71</v>
      </c>
    </row>
    <row r="372" spans="1:11">
      <c r="A372" s="120" t="s">
        <v>584</v>
      </c>
      <c r="B372" s="120" t="s">
        <v>585</v>
      </c>
      <c r="C372" s="120" t="s">
        <v>119</v>
      </c>
      <c r="D372" s="120" t="s">
        <v>319</v>
      </c>
      <c r="E372" s="120" t="s">
        <v>1609</v>
      </c>
      <c r="F372" s="121">
        <v>2016</v>
      </c>
      <c r="G372" s="120" t="s">
        <v>1593</v>
      </c>
      <c r="H372" s="120" t="s">
        <v>1612</v>
      </c>
      <c r="I372" s="120"/>
      <c r="J372" s="130">
        <v>1939.7274652531355</v>
      </c>
      <c r="K372" s="131" t="s">
        <v>71</v>
      </c>
    </row>
    <row r="373" spans="1:11">
      <c r="A373" s="120" t="s">
        <v>590</v>
      </c>
      <c r="B373" s="120" t="s">
        <v>591</v>
      </c>
      <c r="C373" s="120" t="s">
        <v>117</v>
      </c>
      <c r="D373" s="120" t="s">
        <v>121</v>
      </c>
      <c r="E373" s="120" t="s">
        <v>1609</v>
      </c>
      <c r="F373" s="121">
        <v>2016</v>
      </c>
      <c r="G373" s="120" t="s">
        <v>1593</v>
      </c>
      <c r="H373" s="120" t="s">
        <v>1612</v>
      </c>
      <c r="I373" s="120"/>
      <c r="J373" s="130">
        <v>519.89335138342142</v>
      </c>
      <c r="K373" s="131" t="s">
        <v>71</v>
      </c>
    </row>
    <row r="374" spans="1:11">
      <c r="A374" s="120" t="s">
        <v>622</v>
      </c>
      <c r="B374" s="120" t="s">
        <v>623</v>
      </c>
      <c r="C374" s="120" t="s">
        <v>119</v>
      </c>
      <c r="D374" s="120" t="s">
        <v>319</v>
      </c>
      <c r="E374" s="120" t="s">
        <v>1609</v>
      </c>
      <c r="F374" s="121">
        <v>2016</v>
      </c>
      <c r="G374" s="120" t="s">
        <v>1593</v>
      </c>
      <c r="H374" s="120" t="s">
        <v>1612</v>
      </c>
      <c r="I374" s="120"/>
      <c r="J374" s="130">
        <v>1257.2725330790011</v>
      </c>
      <c r="K374" s="131" t="s">
        <v>71</v>
      </c>
    </row>
    <row r="375" spans="1:11">
      <c r="A375" s="120" t="s">
        <v>592</v>
      </c>
      <c r="B375" s="120" t="s">
        <v>593</v>
      </c>
      <c r="C375" s="120" t="s">
        <v>119</v>
      </c>
      <c r="D375" s="120" t="s">
        <v>325</v>
      </c>
      <c r="E375" s="120" t="s">
        <v>1609</v>
      </c>
      <c r="F375" s="121">
        <v>2016</v>
      </c>
      <c r="G375" s="120" t="s">
        <v>1593</v>
      </c>
      <c r="H375" s="120" t="s">
        <v>1612</v>
      </c>
      <c r="I375" s="120"/>
      <c r="J375" s="130">
        <v>589.07425199489956</v>
      </c>
      <c r="K375" s="131" t="s">
        <v>71</v>
      </c>
    </row>
    <row r="376" spans="1:11">
      <c r="A376" s="120" t="s">
        <v>598</v>
      </c>
      <c r="B376" s="120" t="s">
        <v>599</v>
      </c>
      <c r="C376" s="120" t="s">
        <v>119</v>
      </c>
      <c r="D376" s="120" t="s">
        <v>319</v>
      </c>
      <c r="E376" s="120" t="s">
        <v>1609</v>
      </c>
      <c r="F376" s="121">
        <v>2016</v>
      </c>
      <c r="G376" s="120" t="s">
        <v>1593</v>
      </c>
      <c r="H376" s="120" t="s">
        <v>1612</v>
      </c>
      <c r="I376" s="120"/>
      <c r="J376" s="130">
        <v>3074.3721977951359</v>
      </c>
      <c r="K376" s="131" t="s">
        <v>71</v>
      </c>
    </row>
    <row r="377" spans="1:11">
      <c r="A377" s="120" t="s">
        <v>418</v>
      </c>
      <c r="B377" s="120" t="s">
        <v>419</v>
      </c>
      <c r="C377" s="120" t="s">
        <v>116</v>
      </c>
      <c r="D377" s="120" t="s">
        <v>322</v>
      </c>
      <c r="E377" s="120" t="s">
        <v>1609</v>
      </c>
      <c r="F377" s="121">
        <v>2016</v>
      </c>
      <c r="G377" s="120" t="s">
        <v>1593</v>
      </c>
      <c r="H377" s="120" t="s">
        <v>1612</v>
      </c>
      <c r="I377" s="120"/>
      <c r="J377" s="130">
        <v>3820.6368519221887</v>
      </c>
      <c r="K377" s="131" t="s">
        <v>71</v>
      </c>
    </row>
    <row r="378" spans="1:11">
      <c r="A378" s="120" t="s">
        <v>718</v>
      </c>
      <c r="B378" s="120" t="s">
        <v>719</v>
      </c>
      <c r="C378" s="120" t="s">
        <v>115</v>
      </c>
      <c r="D378" s="120" t="s">
        <v>121</v>
      </c>
      <c r="E378" s="120" t="s">
        <v>1609</v>
      </c>
      <c r="F378" s="121">
        <v>2016</v>
      </c>
      <c r="G378" s="120" t="s">
        <v>1593</v>
      </c>
      <c r="H378" s="120" t="s">
        <v>1612</v>
      </c>
      <c r="I378" s="120"/>
      <c r="J378" s="130">
        <v>1613.5822240647269</v>
      </c>
      <c r="K378" s="131" t="s">
        <v>71</v>
      </c>
    </row>
    <row r="379" spans="1:11">
      <c r="A379" s="120" t="s">
        <v>594</v>
      </c>
      <c r="B379" s="120" t="s">
        <v>595</v>
      </c>
      <c r="C379" s="120" t="s">
        <v>115</v>
      </c>
      <c r="D379" s="120" t="s">
        <v>322</v>
      </c>
      <c r="E379" s="120" t="s">
        <v>1609</v>
      </c>
      <c r="F379" s="121">
        <v>2016</v>
      </c>
      <c r="G379" s="120" t="s">
        <v>1593</v>
      </c>
      <c r="H379" s="120" t="s">
        <v>1612</v>
      </c>
      <c r="I379" s="120"/>
      <c r="J379" s="130">
        <v>2118.6489949723964</v>
      </c>
      <c r="K379" s="131" t="s">
        <v>71</v>
      </c>
    </row>
    <row r="380" spans="1:11">
      <c r="A380" s="120" t="s">
        <v>624</v>
      </c>
      <c r="B380" s="120" t="s">
        <v>625</v>
      </c>
      <c r="C380" s="120" t="s">
        <v>116</v>
      </c>
      <c r="D380" s="120" t="s">
        <v>322</v>
      </c>
      <c r="E380" s="120" t="s">
        <v>1609</v>
      </c>
      <c r="F380" s="121">
        <v>2016</v>
      </c>
      <c r="G380" s="120" t="s">
        <v>1593</v>
      </c>
      <c r="H380" s="120" t="s">
        <v>1612</v>
      </c>
      <c r="I380" s="120"/>
      <c r="J380" s="130">
        <v>2158.0795040797602</v>
      </c>
      <c r="K380" s="131" t="s">
        <v>71</v>
      </c>
    </row>
    <row r="381" spans="1:11">
      <c r="A381" s="120" t="s">
        <v>768</v>
      </c>
      <c r="B381" s="120" t="s">
        <v>627</v>
      </c>
      <c r="C381" s="120" t="s">
        <v>119</v>
      </c>
      <c r="D381" s="120" t="s">
        <v>325</v>
      </c>
      <c r="E381" s="120" t="s">
        <v>1609</v>
      </c>
      <c r="F381" s="121">
        <v>2016</v>
      </c>
      <c r="G381" s="120" t="s">
        <v>1593</v>
      </c>
      <c r="H381" s="120" t="s">
        <v>1612</v>
      </c>
      <c r="I381" s="120"/>
      <c r="J381" s="130">
        <v>1484.6741626063858</v>
      </c>
      <c r="K381" s="131" t="s">
        <v>71</v>
      </c>
    </row>
    <row r="382" spans="1:11">
      <c r="A382" s="120" t="s">
        <v>382</v>
      </c>
      <c r="B382" s="120" t="s">
        <v>383</v>
      </c>
      <c r="C382" s="120" t="s">
        <v>119</v>
      </c>
      <c r="D382" s="120" t="s">
        <v>319</v>
      </c>
      <c r="E382" s="120" t="s">
        <v>1609</v>
      </c>
      <c r="F382" s="121">
        <v>2016</v>
      </c>
      <c r="G382" s="120" t="s">
        <v>1593</v>
      </c>
      <c r="H382" s="120" t="s">
        <v>1612</v>
      </c>
      <c r="I382" s="120"/>
      <c r="J382" s="130">
        <v>1375.2174825625284</v>
      </c>
      <c r="K382" s="131" t="s">
        <v>71</v>
      </c>
    </row>
    <row r="383" spans="1:11">
      <c r="A383" s="120" t="s">
        <v>644</v>
      </c>
      <c r="B383" s="120" t="s">
        <v>645</v>
      </c>
      <c r="C383" s="120" t="s">
        <v>119</v>
      </c>
      <c r="D383" s="120" t="s">
        <v>319</v>
      </c>
      <c r="E383" s="120" t="s">
        <v>1609</v>
      </c>
      <c r="F383" s="121">
        <v>2016</v>
      </c>
      <c r="G383" s="120" t="s">
        <v>1593</v>
      </c>
      <c r="H383" s="120" t="s">
        <v>1612</v>
      </c>
      <c r="I383" s="120"/>
      <c r="J383" s="130">
        <v>1547.058723640351</v>
      </c>
      <c r="K383" s="131" t="s">
        <v>71</v>
      </c>
    </row>
    <row r="384" spans="1:11">
      <c r="A384" s="120" t="s">
        <v>640</v>
      </c>
      <c r="B384" s="120" t="s">
        <v>641</v>
      </c>
      <c r="C384" s="120" t="s">
        <v>114</v>
      </c>
      <c r="D384" s="120" t="s">
        <v>322</v>
      </c>
      <c r="E384" s="120" t="s">
        <v>1609</v>
      </c>
      <c r="F384" s="121">
        <v>2016</v>
      </c>
      <c r="G384" s="120" t="s">
        <v>1593</v>
      </c>
      <c r="H384" s="120" t="s">
        <v>1612</v>
      </c>
      <c r="I384" s="120"/>
      <c r="J384" s="130">
        <v>2043.4066730858797</v>
      </c>
      <c r="K384" s="131" t="s">
        <v>71</v>
      </c>
    </row>
    <row r="385" spans="1:11">
      <c r="A385" s="120" t="s">
        <v>636</v>
      </c>
      <c r="B385" s="120" t="s">
        <v>637</v>
      </c>
      <c r="C385" s="120" t="s">
        <v>115</v>
      </c>
      <c r="D385" s="120" t="s">
        <v>325</v>
      </c>
      <c r="E385" s="120" t="s">
        <v>1609</v>
      </c>
      <c r="F385" s="121">
        <v>2016</v>
      </c>
      <c r="G385" s="120" t="s">
        <v>1593</v>
      </c>
      <c r="H385" s="120" t="s">
        <v>1612</v>
      </c>
      <c r="I385" s="120"/>
      <c r="J385" s="130">
        <v>862.86878952591906</v>
      </c>
      <c r="K385" s="131" t="s">
        <v>71</v>
      </c>
    </row>
    <row r="386" spans="1:11">
      <c r="A386" s="120" t="s">
        <v>654</v>
      </c>
      <c r="B386" s="120" t="s">
        <v>655</v>
      </c>
      <c r="C386" s="120" t="s">
        <v>115</v>
      </c>
      <c r="D386" s="120" t="s">
        <v>322</v>
      </c>
      <c r="E386" s="120" t="s">
        <v>1609</v>
      </c>
      <c r="F386" s="121">
        <v>2016</v>
      </c>
      <c r="G386" s="120" t="s">
        <v>1593</v>
      </c>
      <c r="H386" s="120" t="s">
        <v>1612</v>
      </c>
      <c r="I386" s="120"/>
      <c r="J386" s="130">
        <v>123.38126869090523</v>
      </c>
      <c r="K386" s="131" t="s">
        <v>71</v>
      </c>
    </row>
    <row r="387" spans="1:11">
      <c r="A387" s="120" t="s">
        <v>642</v>
      </c>
      <c r="B387" s="120" t="s">
        <v>643</v>
      </c>
      <c r="C387" s="120" t="s">
        <v>114</v>
      </c>
      <c r="D387" s="120" t="s">
        <v>325</v>
      </c>
      <c r="E387" s="120" t="s">
        <v>1609</v>
      </c>
      <c r="F387" s="121">
        <v>2016</v>
      </c>
      <c r="G387" s="120" t="s">
        <v>1593</v>
      </c>
      <c r="H387" s="120" t="s">
        <v>1612</v>
      </c>
      <c r="I387" s="120"/>
      <c r="J387" s="130">
        <v>3426.9815353675217</v>
      </c>
      <c r="K387" s="131" t="s">
        <v>71</v>
      </c>
    </row>
    <row r="388" spans="1:11">
      <c r="A388" s="120" t="s">
        <v>648</v>
      </c>
      <c r="B388" s="120" t="s">
        <v>649</v>
      </c>
      <c r="C388" s="120" t="s">
        <v>116</v>
      </c>
      <c r="D388" s="120" t="s">
        <v>121</v>
      </c>
      <c r="E388" s="120" t="s">
        <v>1609</v>
      </c>
      <c r="F388" s="121">
        <v>2016</v>
      </c>
      <c r="G388" s="120" t="s">
        <v>1593</v>
      </c>
      <c r="H388" s="120" t="s">
        <v>1612</v>
      </c>
      <c r="I388" s="120"/>
      <c r="J388" s="130">
        <v>1933.7779630654234</v>
      </c>
      <c r="K388" s="131" t="s">
        <v>71</v>
      </c>
    </row>
    <row r="389" spans="1:11">
      <c r="A389" s="120" t="s">
        <v>650</v>
      </c>
      <c r="B389" s="120" t="s">
        <v>651</v>
      </c>
      <c r="C389" s="120" t="s">
        <v>117</v>
      </c>
      <c r="D389" s="120" t="s">
        <v>325</v>
      </c>
      <c r="E389" s="120" t="s">
        <v>1609</v>
      </c>
      <c r="F389" s="121">
        <v>2016</v>
      </c>
      <c r="G389" s="120" t="s">
        <v>1593</v>
      </c>
      <c r="H389" s="120" t="s">
        <v>1612</v>
      </c>
      <c r="I389" s="120"/>
      <c r="J389" s="130">
        <v>990.28274464881395</v>
      </c>
      <c r="K389" s="131" t="s">
        <v>71</v>
      </c>
    </row>
    <row r="390" spans="1:11">
      <c r="A390" s="120" t="s">
        <v>774</v>
      </c>
      <c r="B390" s="120" t="s">
        <v>653</v>
      </c>
      <c r="C390" s="120" t="s">
        <v>115</v>
      </c>
      <c r="D390" s="120" t="s">
        <v>322</v>
      </c>
      <c r="E390" s="120" t="s">
        <v>1609</v>
      </c>
      <c r="F390" s="121">
        <v>2016</v>
      </c>
      <c r="G390" s="120" t="s">
        <v>1593</v>
      </c>
      <c r="H390" s="120" t="s">
        <v>1612</v>
      </c>
      <c r="I390" s="120"/>
      <c r="J390" s="130">
        <v>387.43204778456163</v>
      </c>
      <c r="K390" s="131" t="s">
        <v>71</v>
      </c>
    </row>
    <row r="391" spans="1:11">
      <c r="A391" s="120" t="s">
        <v>638</v>
      </c>
      <c r="B391" s="120" t="s">
        <v>639</v>
      </c>
      <c r="C391" s="120" t="s">
        <v>119</v>
      </c>
      <c r="D391" s="120" t="s">
        <v>325</v>
      </c>
      <c r="E391" s="120" t="s">
        <v>1609</v>
      </c>
      <c r="F391" s="121">
        <v>2016</v>
      </c>
      <c r="G391" s="120" t="s">
        <v>1593</v>
      </c>
      <c r="H391" s="120" t="s">
        <v>1612</v>
      </c>
      <c r="I391" s="120"/>
      <c r="J391" s="130">
        <v>900.27065187773951</v>
      </c>
      <c r="K391" s="131" t="s">
        <v>71</v>
      </c>
    </row>
    <row r="392" spans="1:11">
      <c r="A392" s="120" t="s">
        <v>656</v>
      </c>
      <c r="B392" s="120" t="s">
        <v>657</v>
      </c>
      <c r="C392" s="120" t="s">
        <v>119</v>
      </c>
      <c r="D392" s="120" t="s">
        <v>319</v>
      </c>
      <c r="E392" s="120" t="s">
        <v>1609</v>
      </c>
      <c r="F392" s="121">
        <v>2016</v>
      </c>
      <c r="G392" s="120" t="s">
        <v>1593</v>
      </c>
      <c r="H392" s="120" t="s">
        <v>1612</v>
      </c>
      <c r="I392" s="120"/>
      <c r="J392" s="130">
        <v>1941.6089515555911</v>
      </c>
      <c r="K392" s="131" t="s">
        <v>71</v>
      </c>
    </row>
    <row r="393" spans="1:11">
      <c r="A393" s="120" t="s">
        <v>658</v>
      </c>
      <c r="B393" s="120" t="s">
        <v>659</v>
      </c>
      <c r="C393" s="120" t="s">
        <v>115</v>
      </c>
      <c r="D393" s="120" t="s">
        <v>325</v>
      </c>
      <c r="E393" s="120" t="s">
        <v>1609</v>
      </c>
      <c r="F393" s="121">
        <v>2016</v>
      </c>
      <c r="G393" s="120" t="s">
        <v>1593</v>
      </c>
      <c r="H393" s="120" t="s">
        <v>1612</v>
      </c>
      <c r="I393" s="120"/>
      <c r="J393" s="130">
        <v>538.55208480843157</v>
      </c>
      <c r="K393" s="131" t="s">
        <v>71</v>
      </c>
    </row>
    <row r="394" spans="1:11">
      <c r="A394" s="120" t="s">
        <v>666</v>
      </c>
      <c r="B394" s="120" t="s">
        <v>667</v>
      </c>
      <c r="C394" s="120" t="s">
        <v>116</v>
      </c>
      <c r="D394" s="120" t="s">
        <v>121</v>
      </c>
      <c r="E394" s="120" t="s">
        <v>1609</v>
      </c>
      <c r="F394" s="121">
        <v>2016</v>
      </c>
      <c r="G394" s="120" t="s">
        <v>1593</v>
      </c>
      <c r="H394" s="120" t="s">
        <v>1612</v>
      </c>
      <c r="I394" s="120"/>
      <c r="J394" s="130">
        <v>1179.4714386115388</v>
      </c>
      <c r="K394" s="131" t="s">
        <v>71</v>
      </c>
    </row>
    <row r="395" spans="1:11">
      <c r="A395" s="120" t="s">
        <v>664</v>
      </c>
      <c r="B395" s="120" t="s">
        <v>665</v>
      </c>
      <c r="C395" s="120" t="s">
        <v>120</v>
      </c>
      <c r="D395" s="120" t="s">
        <v>121</v>
      </c>
      <c r="E395" s="120" t="s">
        <v>1609</v>
      </c>
      <c r="F395" s="121">
        <v>2016</v>
      </c>
      <c r="G395" s="120" t="s">
        <v>1593</v>
      </c>
      <c r="H395" s="120" t="s">
        <v>1612</v>
      </c>
      <c r="I395" s="120"/>
      <c r="J395" s="130">
        <v>2275.5209897291315</v>
      </c>
      <c r="K395" s="131" t="s">
        <v>71</v>
      </c>
    </row>
    <row r="396" spans="1:11">
      <c r="A396" s="120" t="s">
        <v>668</v>
      </c>
      <c r="B396" s="120" t="s">
        <v>669</v>
      </c>
      <c r="C396" s="120" t="s">
        <v>115</v>
      </c>
      <c r="D396" s="120" t="s">
        <v>325</v>
      </c>
      <c r="E396" s="120" t="s">
        <v>1609</v>
      </c>
      <c r="F396" s="121">
        <v>2016</v>
      </c>
      <c r="G396" s="120" t="s">
        <v>1593</v>
      </c>
      <c r="H396" s="120" t="s">
        <v>1612</v>
      </c>
      <c r="I396" s="120"/>
      <c r="J396" s="130">
        <v>711.5140130641571</v>
      </c>
      <c r="K396" s="131" t="s">
        <v>71</v>
      </c>
    </row>
    <row r="397" spans="1:11">
      <c r="A397" s="120" t="s">
        <v>674</v>
      </c>
      <c r="B397" s="120" t="s">
        <v>675</v>
      </c>
      <c r="C397" s="120" t="s">
        <v>114</v>
      </c>
      <c r="D397" s="120" t="s">
        <v>325</v>
      </c>
      <c r="E397" s="120" t="s">
        <v>1609</v>
      </c>
      <c r="F397" s="121">
        <v>2016</v>
      </c>
      <c r="G397" s="120" t="s">
        <v>1593</v>
      </c>
      <c r="H397" s="120" t="s">
        <v>1612</v>
      </c>
      <c r="I397" s="120"/>
      <c r="J397" s="130">
        <v>3384.9829018957435</v>
      </c>
      <c r="K397" s="131" t="s">
        <v>71</v>
      </c>
    </row>
    <row r="398" spans="1:11">
      <c r="A398" s="120" t="s">
        <v>610</v>
      </c>
      <c r="B398" s="120" t="s">
        <v>611</v>
      </c>
      <c r="C398" s="120" t="s">
        <v>119</v>
      </c>
      <c r="D398" s="120" t="s">
        <v>322</v>
      </c>
      <c r="E398" s="120" t="s">
        <v>1609</v>
      </c>
      <c r="F398" s="121">
        <v>2016</v>
      </c>
      <c r="G398" s="120" t="s">
        <v>1593</v>
      </c>
      <c r="H398" s="120" t="s">
        <v>1612</v>
      </c>
      <c r="I398" s="120"/>
      <c r="J398" s="130">
        <v>1209.6183907278019</v>
      </c>
      <c r="K398" s="131" t="s">
        <v>71</v>
      </c>
    </row>
    <row r="399" spans="1:11">
      <c r="A399" s="120" t="s">
        <v>680</v>
      </c>
      <c r="B399" s="120" t="s">
        <v>681</v>
      </c>
      <c r="C399" s="120" t="s">
        <v>119</v>
      </c>
      <c r="D399" s="120" t="s">
        <v>325</v>
      </c>
      <c r="E399" s="120" t="s">
        <v>1609</v>
      </c>
      <c r="F399" s="121">
        <v>2016</v>
      </c>
      <c r="G399" s="120" t="s">
        <v>1593</v>
      </c>
      <c r="H399" s="120" t="s">
        <v>1612</v>
      </c>
      <c r="I399" s="120"/>
      <c r="J399" s="130">
        <v>1143.3916114050899</v>
      </c>
      <c r="K399" s="131" t="s">
        <v>71</v>
      </c>
    </row>
    <row r="400" spans="1:11">
      <c r="A400" s="120" t="s">
        <v>682</v>
      </c>
      <c r="B400" s="120" t="s">
        <v>683</v>
      </c>
      <c r="C400" s="120" t="s">
        <v>119</v>
      </c>
      <c r="D400" s="120" t="s">
        <v>325</v>
      </c>
      <c r="E400" s="120" t="s">
        <v>1609</v>
      </c>
      <c r="F400" s="121">
        <v>2016</v>
      </c>
      <c r="G400" s="120" t="s">
        <v>1593</v>
      </c>
      <c r="H400" s="120" t="s">
        <v>1612</v>
      </c>
      <c r="I400" s="120"/>
      <c r="J400" s="130">
        <v>2066.9216394875766</v>
      </c>
      <c r="K400" s="131" t="s">
        <v>71</v>
      </c>
    </row>
    <row r="401" spans="1:11">
      <c r="A401" s="120" t="s">
        <v>314</v>
      </c>
      <c r="B401" s="120" t="s">
        <v>315</v>
      </c>
      <c r="C401" s="120" t="s">
        <v>1566</v>
      </c>
      <c r="D401" s="120" t="s">
        <v>314</v>
      </c>
      <c r="E401" s="120" t="s">
        <v>1609</v>
      </c>
      <c r="F401" s="121">
        <v>2016</v>
      </c>
      <c r="G401" s="120" t="s">
        <v>1593</v>
      </c>
      <c r="H401" s="120" t="s">
        <v>1612</v>
      </c>
      <c r="I401" s="120"/>
      <c r="J401" s="130">
        <v>962.25797439157395</v>
      </c>
      <c r="K401" s="131" t="s">
        <v>71</v>
      </c>
    </row>
    <row r="402" spans="1:11">
      <c r="A402" s="120" t="s">
        <v>317</v>
      </c>
      <c r="B402" s="120" t="s">
        <v>318</v>
      </c>
      <c r="C402" s="120" t="s">
        <v>118</v>
      </c>
      <c r="D402" s="120" t="s">
        <v>319</v>
      </c>
      <c r="E402" s="122" t="s">
        <v>130</v>
      </c>
      <c r="F402" s="121">
        <v>2015</v>
      </c>
      <c r="G402" s="120" t="s">
        <v>1613</v>
      </c>
      <c r="H402" s="120" t="s">
        <v>2</v>
      </c>
      <c r="I402" s="120" t="s">
        <v>281</v>
      </c>
      <c r="J402" s="132">
        <v>4.57633126713008E-2</v>
      </c>
      <c r="K402" s="131" t="s">
        <v>312</v>
      </c>
    </row>
    <row r="403" spans="1:11">
      <c r="A403" s="120" t="s">
        <v>326</v>
      </c>
      <c r="B403" s="120" t="s">
        <v>327</v>
      </c>
      <c r="C403" s="120" t="s">
        <v>119</v>
      </c>
      <c r="D403" s="120" t="s">
        <v>325</v>
      </c>
      <c r="E403" s="122" t="s">
        <v>130</v>
      </c>
      <c r="F403" s="121">
        <v>2015</v>
      </c>
      <c r="G403" s="120" t="s">
        <v>1613</v>
      </c>
      <c r="H403" s="120" t="s">
        <v>2</v>
      </c>
      <c r="I403" s="120" t="s">
        <v>281</v>
      </c>
      <c r="J403" s="132">
        <v>7.3858062547974682E-2</v>
      </c>
      <c r="K403" s="131" t="s">
        <v>312</v>
      </c>
    </row>
    <row r="404" spans="1:11">
      <c r="A404" s="120" t="s">
        <v>320</v>
      </c>
      <c r="B404" s="120" t="s">
        <v>321</v>
      </c>
      <c r="C404" s="120" t="s">
        <v>115</v>
      </c>
      <c r="D404" s="120" t="s">
        <v>322</v>
      </c>
      <c r="E404" s="122" t="s">
        <v>130</v>
      </c>
      <c r="F404" s="121">
        <v>2015</v>
      </c>
      <c r="G404" s="120" t="s">
        <v>1613</v>
      </c>
      <c r="H404" s="120" t="s">
        <v>2</v>
      </c>
      <c r="I404" s="120" t="s">
        <v>281</v>
      </c>
      <c r="J404" s="132">
        <v>0.10280312784209425</v>
      </c>
      <c r="K404" s="131" t="s">
        <v>312</v>
      </c>
    </row>
    <row r="405" spans="1:11">
      <c r="A405" s="120" t="s">
        <v>688</v>
      </c>
      <c r="B405" s="120" t="s">
        <v>689</v>
      </c>
      <c r="C405" s="120" t="s">
        <v>115</v>
      </c>
      <c r="D405" s="120" t="s">
        <v>121</v>
      </c>
      <c r="E405" s="122" t="s">
        <v>130</v>
      </c>
      <c r="F405" s="121">
        <v>2015</v>
      </c>
      <c r="G405" s="120" t="s">
        <v>1613</v>
      </c>
      <c r="H405" s="120" t="s">
        <v>2</v>
      </c>
      <c r="I405" s="120" t="s">
        <v>281</v>
      </c>
      <c r="J405" s="132">
        <v>0.23090643207153702</v>
      </c>
      <c r="K405" s="131" t="s">
        <v>312</v>
      </c>
    </row>
    <row r="406" spans="1:11">
      <c r="A406" s="120" t="s">
        <v>660</v>
      </c>
      <c r="B406" s="120" t="s">
        <v>661</v>
      </c>
      <c r="C406" s="120" t="s">
        <v>117</v>
      </c>
      <c r="D406" s="120" t="s">
        <v>121</v>
      </c>
      <c r="E406" s="122" t="s">
        <v>130</v>
      </c>
      <c r="F406" s="121">
        <v>2015</v>
      </c>
      <c r="G406" s="120" t="s">
        <v>1613</v>
      </c>
      <c r="H406" s="120" t="s">
        <v>2</v>
      </c>
      <c r="I406" s="120" t="s">
        <v>281</v>
      </c>
      <c r="J406" s="132">
        <v>9.9662758527344755E-2</v>
      </c>
      <c r="K406" s="131" t="s">
        <v>312</v>
      </c>
    </row>
    <row r="407" spans="1:11">
      <c r="A407" s="120" t="s">
        <v>330</v>
      </c>
      <c r="B407" s="120" t="s">
        <v>331</v>
      </c>
      <c r="C407" s="120" t="s">
        <v>116</v>
      </c>
      <c r="D407" s="120" t="s">
        <v>322</v>
      </c>
      <c r="E407" s="122" t="s">
        <v>130</v>
      </c>
      <c r="F407" s="121">
        <v>2015</v>
      </c>
      <c r="G407" s="120" t="s">
        <v>1613</v>
      </c>
      <c r="H407" s="120" t="s">
        <v>2</v>
      </c>
      <c r="I407" s="120" t="s">
        <v>281</v>
      </c>
      <c r="J407" s="132">
        <v>0.10385632119686367</v>
      </c>
      <c r="K407" s="131" t="s">
        <v>312</v>
      </c>
    </row>
    <row r="408" spans="1:11">
      <c r="A408" s="120" t="s">
        <v>332</v>
      </c>
      <c r="B408" s="120" t="s">
        <v>333</v>
      </c>
      <c r="C408" s="120" t="s">
        <v>115</v>
      </c>
      <c r="D408" s="120" t="s">
        <v>322</v>
      </c>
      <c r="E408" s="122" t="s">
        <v>130</v>
      </c>
      <c r="F408" s="121">
        <v>2015</v>
      </c>
      <c r="G408" s="120" t="s">
        <v>1613</v>
      </c>
      <c r="H408" s="120" t="s">
        <v>2</v>
      </c>
      <c r="I408" s="120" t="s">
        <v>281</v>
      </c>
      <c r="J408" s="132">
        <v>6.815864381496195E-2</v>
      </c>
      <c r="K408" s="131" t="s">
        <v>312</v>
      </c>
    </row>
    <row r="409" spans="1:11">
      <c r="A409" s="120" t="s">
        <v>334</v>
      </c>
      <c r="B409" s="120" t="s">
        <v>335</v>
      </c>
      <c r="C409" s="120" t="s">
        <v>114</v>
      </c>
      <c r="D409" s="120" t="s">
        <v>121</v>
      </c>
      <c r="E409" s="122" t="s">
        <v>130</v>
      </c>
      <c r="F409" s="121">
        <v>2015</v>
      </c>
      <c r="G409" s="120" t="s">
        <v>1613</v>
      </c>
      <c r="H409" s="120" t="s">
        <v>2</v>
      </c>
      <c r="I409" s="120" t="s">
        <v>281</v>
      </c>
      <c r="J409" s="132">
        <v>0.1479150618375363</v>
      </c>
      <c r="K409" s="131" t="s">
        <v>312</v>
      </c>
    </row>
    <row r="410" spans="1:11">
      <c r="A410" s="120" t="s">
        <v>336</v>
      </c>
      <c r="B410" s="120" t="s">
        <v>337</v>
      </c>
      <c r="C410" s="120" t="s">
        <v>115</v>
      </c>
      <c r="D410" s="120" t="s">
        <v>121</v>
      </c>
      <c r="E410" s="122" t="s">
        <v>130</v>
      </c>
      <c r="F410" s="121">
        <v>2015</v>
      </c>
      <c r="G410" s="120" t="s">
        <v>1613</v>
      </c>
      <c r="H410" s="120" t="s">
        <v>2</v>
      </c>
      <c r="I410" s="120" t="s">
        <v>281</v>
      </c>
      <c r="J410" s="132">
        <v>1.9699311230018876E-3</v>
      </c>
      <c r="K410" s="131" t="s">
        <v>312</v>
      </c>
    </row>
    <row r="411" spans="1:11">
      <c r="A411" s="120" t="s">
        <v>338</v>
      </c>
      <c r="B411" s="120" t="s">
        <v>339</v>
      </c>
      <c r="C411" s="120" t="s">
        <v>115</v>
      </c>
      <c r="D411" s="120" t="s">
        <v>322</v>
      </c>
      <c r="E411" s="122" t="s">
        <v>130</v>
      </c>
      <c r="F411" s="121">
        <v>2015</v>
      </c>
      <c r="G411" s="120" t="s">
        <v>1613</v>
      </c>
      <c r="H411" s="120" t="s">
        <v>2</v>
      </c>
      <c r="I411" s="120" t="s">
        <v>281</v>
      </c>
      <c r="J411" s="132">
        <v>8.6956137386562687E-2</v>
      </c>
      <c r="K411" s="131" t="s">
        <v>312</v>
      </c>
    </row>
    <row r="412" spans="1:11">
      <c r="A412" s="120" t="s">
        <v>370</v>
      </c>
      <c r="B412" s="120" t="s">
        <v>371</v>
      </c>
      <c r="C412" s="120" t="s">
        <v>119</v>
      </c>
      <c r="D412" s="120" t="s">
        <v>319</v>
      </c>
      <c r="E412" s="122" t="s">
        <v>130</v>
      </c>
      <c r="F412" s="121">
        <v>2015</v>
      </c>
      <c r="G412" s="120" t="s">
        <v>1613</v>
      </c>
      <c r="H412" s="120" t="s">
        <v>2</v>
      </c>
      <c r="I412" s="120" t="s">
        <v>281</v>
      </c>
      <c r="J412" s="132">
        <v>1.3355918533626034E-2</v>
      </c>
      <c r="K412" s="131" t="s">
        <v>312</v>
      </c>
    </row>
    <row r="413" spans="1:11">
      <c r="A413" s="120" t="s">
        <v>348</v>
      </c>
      <c r="B413" s="120" t="s">
        <v>349</v>
      </c>
      <c r="C413" s="120" t="s">
        <v>115</v>
      </c>
      <c r="D413" s="120" t="s">
        <v>121</v>
      </c>
      <c r="E413" s="122" t="s">
        <v>130</v>
      </c>
      <c r="F413" s="121">
        <v>2015</v>
      </c>
      <c r="G413" s="120" t="s">
        <v>1613</v>
      </c>
      <c r="H413" s="120" t="s">
        <v>2</v>
      </c>
      <c r="I413" s="120" t="s">
        <v>281</v>
      </c>
      <c r="J413" s="132">
        <v>0.41805180979575746</v>
      </c>
      <c r="K413" s="131" t="s">
        <v>312</v>
      </c>
    </row>
    <row r="414" spans="1:11">
      <c r="A414" s="120" t="s">
        <v>352</v>
      </c>
      <c r="B414" s="120" t="s">
        <v>353</v>
      </c>
      <c r="C414" s="120" t="s">
        <v>119</v>
      </c>
      <c r="D414" s="120" t="s">
        <v>325</v>
      </c>
      <c r="E414" s="122" t="s">
        <v>130</v>
      </c>
      <c r="F414" s="121">
        <v>2015</v>
      </c>
      <c r="G414" s="120" t="s">
        <v>1613</v>
      </c>
      <c r="H414" s="120" t="s">
        <v>2</v>
      </c>
      <c r="I414" s="120" t="s">
        <v>281</v>
      </c>
      <c r="J414" s="132">
        <v>7.4394686293525434E-5</v>
      </c>
      <c r="K414" s="131" t="s">
        <v>312</v>
      </c>
    </row>
    <row r="415" spans="1:11">
      <c r="A415" s="120" t="s">
        <v>368</v>
      </c>
      <c r="B415" s="120" t="s">
        <v>369</v>
      </c>
      <c r="C415" s="120" t="s">
        <v>119</v>
      </c>
      <c r="D415" s="120" t="s">
        <v>319</v>
      </c>
      <c r="E415" s="122" t="s">
        <v>130</v>
      </c>
      <c r="F415" s="121">
        <v>2015</v>
      </c>
      <c r="G415" s="120" t="s">
        <v>1613</v>
      </c>
      <c r="H415" s="120" t="s">
        <v>2</v>
      </c>
      <c r="I415" s="120" t="s">
        <v>281</v>
      </c>
      <c r="J415" s="132">
        <v>1.9242312855739224E-2</v>
      </c>
      <c r="K415" s="131" t="s">
        <v>312</v>
      </c>
    </row>
    <row r="416" spans="1:11">
      <c r="A416" s="120" t="s">
        <v>342</v>
      </c>
      <c r="B416" s="120" t="s">
        <v>343</v>
      </c>
      <c r="C416" s="120" t="s">
        <v>118</v>
      </c>
      <c r="D416" s="120" t="s">
        <v>325</v>
      </c>
      <c r="E416" s="122" t="s">
        <v>130</v>
      </c>
      <c r="F416" s="121">
        <v>2015</v>
      </c>
      <c r="G416" s="120" t="s">
        <v>1613</v>
      </c>
      <c r="H416" s="120" t="s">
        <v>2</v>
      </c>
      <c r="I416" s="120" t="s">
        <v>281</v>
      </c>
      <c r="J416" s="132">
        <v>4.6565105878601375E-2</v>
      </c>
      <c r="K416" s="131" t="s">
        <v>312</v>
      </c>
    </row>
    <row r="417" spans="1:11">
      <c r="A417" s="120" t="s">
        <v>366</v>
      </c>
      <c r="B417" s="120" t="s">
        <v>367</v>
      </c>
      <c r="C417" s="120" t="s">
        <v>115</v>
      </c>
      <c r="D417" s="120" t="s">
        <v>322</v>
      </c>
      <c r="E417" s="122" t="s">
        <v>130</v>
      </c>
      <c r="F417" s="121">
        <v>2015</v>
      </c>
      <c r="G417" s="120" t="s">
        <v>1613</v>
      </c>
      <c r="H417" s="120" t="s">
        <v>2</v>
      </c>
      <c r="I417" s="120" t="s">
        <v>281</v>
      </c>
      <c r="J417" s="132">
        <v>8.3789500478559681E-2</v>
      </c>
      <c r="K417" s="131" t="s">
        <v>312</v>
      </c>
    </row>
    <row r="418" spans="1:11">
      <c r="A418" s="120" t="s">
        <v>690</v>
      </c>
      <c r="B418" s="120" t="s">
        <v>691</v>
      </c>
      <c r="C418" s="120" t="s">
        <v>117</v>
      </c>
      <c r="D418" s="120" t="s">
        <v>121</v>
      </c>
      <c r="E418" s="122" t="s">
        <v>130</v>
      </c>
      <c r="F418" s="121">
        <v>2015</v>
      </c>
      <c r="G418" s="120" t="s">
        <v>1613</v>
      </c>
      <c r="H418" s="120" t="s">
        <v>2</v>
      </c>
      <c r="I418" s="120" t="s">
        <v>281</v>
      </c>
      <c r="J418" s="132">
        <v>0.10049755469729767</v>
      </c>
      <c r="K418" s="131" t="s">
        <v>312</v>
      </c>
    </row>
    <row r="419" spans="1:11">
      <c r="A419" s="120" t="s">
        <v>346</v>
      </c>
      <c r="B419" s="120" t="s">
        <v>347</v>
      </c>
      <c r="C419" s="120" t="s">
        <v>115</v>
      </c>
      <c r="D419" s="120" t="s">
        <v>322</v>
      </c>
      <c r="E419" s="122" t="s">
        <v>130</v>
      </c>
      <c r="F419" s="121">
        <v>2015</v>
      </c>
      <c r="G419" s="120" t="s">
        <v>1613</v>
      </c>
      <c r="H419" s="120" t="s">
        <v>2</v>
      </c>
      <c r="I419" s="120" t="s">
        <v>281</v>
      </c>
      <c r="J419" s="132">
        <v>4.4549062409643369E-6</v>
      </c>
      <c r="K419" s="131" t="s">
        <v>312</v>
      </c>
    </row>
    <row r="420" spans="1:11">
      <c r="A420" s="120" t="s">
        <v>350</v>
      </c>
      <c r="B420" s="120" t="s">
        <v>351</v>
      </c>
      <c r="C420" s="120" t="s">
        <v>116</v>
      </c>
      <c r="D420" s="120" t="s">
        <v>322</v>
      </c>
      <c r="E420" s="122" t="s">
        <v>130</v>
      </c>
      <c r="F420" s="121">
        <v>2015</v>
      </c>
      <c r="G420" s="120" t="s">
        <v>1613</v>
      </c>
      <c r="H420" s="120" t="s">
        <v>2</v>
      </c>
      <c r="I420" s="120" t="s">
        <v>281</v>
      </c>
      <c r="J420" s="132">
        <v>2.1415937874307407E-2</v>
      </c>
      <c r="K420" s="131" t="s">
        <v>312</v>
      </c>
    </row>
    <row r="421" spans="1:11">
      <c r="A421" s="120" t="s">
        <v>356</v>
      </c>
      <c r="B421" s="120" t="s">
        <v>357</v>
      </c>
      <c r="C421" s="120" t="s">
        <v>116</v>
      </c>
      <c r="D421" s="120" t="s">
        <v>325</v>
      </c>
      <c r="E421" s="122" t="s">
        <v>130</v>
      </c>
      <c r="F421" s="121">
        <v>2015</v>
      </c>
      <c r="G421" s="120" t="s">
        <v>1613</v>
      </c>
      <c r="H421" s="120" t="s">
        <v>2</v>
      </c>
      <c r="I421" s="120" t="s">
        <v>281</v>
      </c>
      <c r="J421" s="132">
        <v>7.47754712523402E-2</v>
      </c>
      <c r="K421" s="131" t="s">
        <v>312</v>
      </c>
    </row>
    <row r="422" spans="1:11">
      <c r="A422" s="120" t="s">
        <v>362</v>
      </c>
      <c r="B422" s="120" t="s">
        <v>363</v>
      </c>
      <c r="C422" s="120" t="s">
        <v>116</v>
      </c>
      <c r="D422" s="120" t="s">
        <v>322</v>
      </c>
      <c r="E422" s="122" t="s">
        <v>130</v>
      </c>
      <c r="F422" s="121">
        <v>2015</v>
      </c>
      <c r="G422" s="120" t="s">
        <v>1613</v>
      </c>
      <c r="H422" s="120" t="s">
        <v>2</v>
      </c>
      <c r="I422" s="120" t="s">
        <v>281</v>
      </c>
      <c r="J422" s="132">
        <v>6.8883836921472194E-2</v>
      </c>
      <c r="K422" s="131" t="s">
        <v>312</v>
      </c>
    </row>
    <row r="423" spans="1:11">
      <c r="A423" s="120" t="s">
        <v>354</v>
      </c>
      <c r="B423" s="120" t="s">
        <v>355</v>
      </c>
      <c r="C423" s="120" t="s">
        <v>118</v>
      </c>
      <c r="D423" s="120" t="s">
        <v>325</v>
      </c>
      <c r="E423" s="122" t="s">
        <v>130</v>
      </c>
      <c r="F423" s="121">
        <v>2015</v>
      </c>
      <c r="G423" s="120" t="s">
        <v>1613</v>
      </c>
      <c r="H423" s="120" t="s">
        <v>2</v>
      </c>
      <c r="I423" s="120" t="s">
        <v>281</v>
      </c>
      <c r="J423" s="132">
        <v>4.2836245477921406E-2</v>
      </c>
      <c r="K423" s="131" t="s">
        <v>312</v>
      </c>
    </row>
    <row r="424" spans="1:11">
      <c r="A424" s="120" t="s">
        <v>360</v>
      </c>
      <c r="B424" s="120" t="s">
        <v>361</v>
      </c>
      <c r="C424" s="120" t="s">
        <v>119</v>
      </c>
      <c r="D424" s="120" t="s">
        <v>322</v>
      </c>
      <c r="E424" s="122" t="s">
        <v>130</v>
      </c>
      <c r="F424" s="121">
        <v>2015</v>
      </c>
      <c r="G424" s="120" t="s">
        <v>1613</v>
      </c>
      <c r="H424" s="120" t="s">
        <v>2</v>
      </c>
      <c r="I424" s="120" t="s">
        <v>281</v>
      </c>
      <c r="J424" s="132">
        <v>7.2750243967595773E-2</v>
      </c>
      <c r="K424" s="131" t="s">
        <v>312</v>
      </c>
    </row>
    <row r="425" spans="1:11">
      <c r="A425" s="120" t="s">
        <v>380</v>
      </c>
      <c r="B425" s="120" t="s">
        <v>381</v>
      </c>
      <c r="C425" s="120" t="s">
        <v>119</v>
      </c>
      <c r="D425" s="120" t="s">
        <v>319</v>
      </c>
      <c r="E425" s="122" t="s">
        <v>130</v>
      </c>
      <c r="F425" s="121">
        <v>2015</v>
      </c>
      <c r="G425" s="120" t="s">
        <v>1613</v>
      </c>
      <c r="H425" s="120" t="s">
        <v>2</v>
      </c>
      <c r="I425" s="120" t="s">
        <v>281</v>
      </c>
      <c r="J425" s="132">
        <v>5.0706232435960953E-3</v>
      </c>
      <c r="K425" s="131" t="s">
        <v>312</v>
      </c>
    </row>
    <row r="426" spans="1:11">
      <c r="A426" s="120" t="s">
        <v>378</v>
      </c>
      <c r="B426" s="120" t="s">
        <v>379</v>
      </c>
      <c r="C426" s="120" t="s">
        <v>120</v>
      </c>
      <c r="D426" s="120" t="s">
        <v>121</v>
      </c>
      <c r="E426" s="122" t="s">
        <v>130</v>
      </c>
      <c r="F426" s="121">
        <v>2015</v>
      </c>
      <c r="G426" s="120" t="s">
        <v>1613</v>
      </c>
      <c r="H426" s="120" t="s">
        <v>2</v>
      </c>
      <c r="I426" s="120" t="s">
        <v>281</v>
      </c>
      <c r="J426" s="132">
        <v>0.1171305897135712</v>
      </c>
      <c r="K426" s="131" t="s">
        <v>312</v>
      </c>
    </row>
    <row r="427" spans="1:11">
      <c r="A427" s="120" t="s">
        <v>630</v>
      </c>
      <c r="B427" s="120" t="s">
        <v>631</v>
      </c>
      <c r="C427" s="120" t="s">
        <v>115</v>
      </c>
      <c r="D427" s="120" t="s">
        <v>121</v>
      </c>
      <c r="E427" s="122" t="s">
        <v>130</v>
      </c>
      <c r="F427" s="121">
        <v>2015</v>
      </c>
      <c r="G427" s="120" t="s">
        <v>1613</v>
      </c>
      <c r="H427" s="120" t="s">
        <v>2</v>
      </c>
      <c r="I427" s="120" t="s">
        <v>281</v>
      </c>
      <c r="J427" s="132">
        <v>1.7444159254376722E-2</v>
      </c>
      <c r="K427" s="131" t="s">
        <v>312</v>
      </c>
    </row>
    <row r="428" spans="1:11">
      <c r="A428" s="120" t="s">
        <v>384</v>
      </c>
      <c r="B428" s="120" t="s">
        <v>385</v>
      </c>
      <c r="C428" s="120" t="s">
        <v>116</v>
      </c>
      <c r="D428" s="120" t="s">
        <v>121</v>
      </c>
      <c r="E428" s="122" t="s">
        <v>130</v>
      </c>
      <c r="F428" s="121">
        <v>2015</v>
      </c>
      <c r="G428" s="120" t="s">
        <v>1613</v>
      </c>
      <c r="H428" s="120" t="s">
        <v>2</v>
      </c>
      <c r="I428" s="120" t="s">
        <v>281</v>
      </c>
      <c r="J428" s="132">
        <v>0.11696342255965013</v>
      </c>
      <c r="K428" s="131" t="s">
        <v>312</v>
      </c>
    </row>
    <row r="429" spans="1:11">
      <c r="A429" s="120" t="s">
        <v>386</v>
      </c>
      <c r="B429" s="120" t="s">
        <v>387</v>
      </c>
      <c r="C429" s="120" t="s">
        <v>114</v>
      </c>
      <c r="D429" s="120" t="s">
        <v>322</v>
      </c>
      <c r="E429" s="122" t="s">
        <v>130</v>
      </c>
      <c r="F429" s="121">
        <v>2015</v>
      </c>
      <c r="G429" s="120" t="s">
        <v>1613</v>
      </c>
      <c r="H429" s="120" t="s">
        <v>2</v>
      </c>
      <c r="I429" s="120" t="s">
        <v>281</v>
      </c>
      <c r="J429" s="132">
        <v>0.1138309236568672</v>
      </c>
      <c r="K429" s="131" t="s">
        <v>312</v>
      </c>
    </row>
    <row r="430" spans="1:11">
      <c r="A430" s="120" t="s">
        <v>376</v>
      </c>
      <c r="B430" s="120" t="s">
        <v>377</v>
      </c>
      <c r="C430" s="120" t="s">
        <v>119</v>
      </c>
      <c r="D430" s="120" t="s">
        <v>325</v>
      </c>
      <c r="E430" s="122" t="s">
        <v>130</v>
      </c>
      <c r="F430" s="121">
        <v>2015</v>
      </c>
      <c r="G430" s="120" t="s">
        <v>1613</v>
      </c>
      <c r="H430" s="120" t="s">
        <v>2</v>
      </c>
      <c r="I430" s="120" t="s">
        <v>281</v>
      </c>
      <c r="J430" s="132">
        <v>1.3899571940254388E-2</v>
      </c>
      <c r="K430" s="131" t="s">
        <v>312</v>
      </c>
    </row>
    <row r="431" spans="1:11">
      <c r="A431" s="120" t="s">
        <v>388</v>
      </c>
      <c r="B431" s="120" t="s">
        <v>389</v>
      </c>
      <c r="C431" s="120" t="s">
        <v>116</v>
      </c>
      <c r="D431" s="120" t="s">
        <v>322</v>
      </c>
      <c r="E431" s="122" t="s">
        <v>130</v>
      </c>
      <c r="F431" s="121">
        <v>2015</v>
      </c>
      <c r="G431" s="120" t="s">
        <v>1613</v>
      </c>
      <c r="H431" s="120" t="s">
        <v>2</v>
      </c>
      <c r="I431" s="120" t="s">
        <v>281</v>
      </c>
      <c r="J431" s="132">
        <v>9.5910485858267999E-3</v>
      </c>
      <c r="K431" s="131" t="s">
        <v>312</v>
      </c>
    </row>
    <row r="432" spans="1:11">
      <c r="A432" s="120" t="s">
        <v>396</v>
      </c>
      <c r="B432" s="120" t="s">
        <v>397</v>
      </c>
      <c r="C432" s="120" t="s">
        <v>116</v>
      </c>
      <c r="D432" s="120" t="s">
        <v>322</v>
      </c>
      <c r="E432" s="122" t="s">
        <v>130</v>
      </c>
      <c r="F432" s="121">
        <v>2015</v>
      </c>
      <c r="G432" s="120" t="s">
        <v>1613</v>
      </c>
      <c r="H432" s="120" t="s">
        <v>2</v>
      </c>
      <c r="I432" s="120" t="s">
        <v>281</v>
      </c>
      <c r="J432" s="132">
        <v>5.5625933429484541E-2</v>
      </c>
      <c r="K432" s="131" t="s">
        <v>312</v>
      </c>
    </row>
    <row r="433" spans="1:11">
      <c r="A433" s="120" t="s">
        <v>400</v>
      </c>
      <c r="B433" s="120" t="s">
        <v>401</v>
      </c>
      <c r="C433" s="120" t="s">
        <v>116</v>
      </c>
      <c r="D433" s="120" t="s">
        <v>322</v>
      </c>
      <c r="E433" s="122" t="s">
        <v>130</v>
      </c>
      <c r="F433" s="121">
        <v>2015</v>
      </c>
      <c r="G433" s="120" t="s">
        <v>1613</v>
      </c>
      <c r="H433" s="120" t="s">
        <v>2</v>
      </c>
      <c r="I433" s="120" t="s">
        <v>281</v>
      </c>
      <c r="J433" s="132">
        <v>0.19218535444472107</v>
      </c>
      <c r="K433" s="131" t="s">
        <v>312</v>
      </c>
    </row>
    <row r="434" spans="1:11">
      <c r="A434" s="120" t="s">
        <v>402</v>
      </c>
      <c r="B434" s="120" t="s">
        <v>403</v>
      </c>
      <c r="C434" s="120" t="s">
        <v>115</v>
      </c>
      <c r="D434" s="120" t="s">
        <v>121</v>
      </c>
      <c r="E434" s="122" t="s">
        <v>130</v>
      </c>
      <c r="F434" s="121">
        <v>2015</v>
      </c>
      <c r="G434" s="120" t="s">
        <v>1613</v>
      </c>
      <c r="H434" s="120" t="s">
        <v>2</v>
      </c>
      <c r="I434" s="120" t="s">
        <v>281</v>
      </c>
      <c r="J434" s="132">
        <v>0.11610699948521505</v>
      </c>
      <c r="K434" s="131" t="s">
        <v>312</v>
      </c>
    </row>
    <row r="435" spans="1:11">
      <c r="A435" s="120" t="s">
        <v>436</v>
      </c>
      <c r="B435" s="120" t="s">
        <v>437</v>
      </c>
      <c r="C435" s="120" t="s">
        <v>115</v>
      </c>
      <c r="D435" s="120" t="s">
        <v>121</v>
      </c>
      <c r="E435" s="122" t="s">
        <v>130</v>
      </c>
      <c r="F435" s="121">
        <v>2015</v>
      </c>
      <c r="G435" s="120" t="s">
        <v>1613</v>
      </c>
      <c r="H435" s="120" t="s">
        <v>2</v>
      </c>
      <c r="I435" s="120" t="s">
        <v>281</v>
      </c>
      <c r="J435" s="132">
        <v>9.678524947362438E-2</v>
      </c>
      <c r="K435" s="131" t="s">
        <v>312</v>
      </c>
    </row>
    <row r="436" spans="1:11">
      <c r="A436" s="120" t="s">
        <v>408</v>
      </c>
      <c r="B436" s="120" t="s">
        <v>409</v>
      </c>
      <c r="C436" s="120" t="s">
        <v>117</v>
      </c>
      <c r="D436" s="120" t="s">
        <v>325</v>
      </c>
      <c r="E436" s="122" t="s">
        <v>130</v>
      </c>
      <c r="F436" s="121">
        <v>2015</v>
      </c>
      <c r="G436" s="120" t="s">
        <v>1613</v>
      </c>
      <c r="H436" s="120" t="s">
        <v>2</v>
      </c>
      <c r="I436" s="120" t="s">
        <v>281</v>
      </c>
      <c r="J436" s="132">
        <v>1.3842174483936311E-3</v>
      </c>
      <c r="K436" s="131" t="s">
        <v>312</v>
      </c>
    </row>
    <row r="437" spans="1:11">
      <c r="A437" s="120" t="s">
        <v>406</v>
      </c>
      <c r="B437" s="120" t="s">
        <v>407</v>
      </c>
      <c r="C437" s="120" t="s">
        <v>115</v>
      </c>
      <c r="D437" s="120" t="s">
        <v>121</v>
      </c>
      <c r="E437" s="122" t="s">
        <v>130</v>
      </c>
      <c r="F437" s="121">
        <v>2015</v>
      </c>
      <c r="G437" s="120" t="s">
        <v>1613</v>
      </c>
      <c r="H437" s="120" t="s">
        <v>2</v>
      </c>
      <c r="I437" s="120" t="s">
        <v>281</v>
      </c>
      <c r="J437" s="132">
        <v>7.7925871252085388E-2</v>
      </c>
      <c r="K437" s="131" t="s">
        <v>312</v>
      </c>
    </row>
    <row r="438" spans="1:11">
      <c r="A438" s="120" t="s">
        <v>412</v>
      </c>
      <c r="B438" s="120" t="s">
        <v>413</v>
      </c>
      <c r="C438" s="120" t="s">
        <v>116</v>
      </c>
      <c r="D438" s="120" t="s">
        <v>322</v>
      </c>
      <c r="E438" s="122" t="s">
        <v>130</v>
      </c>
      <c r="F438" s="121">
        <v>2015</v>
      </c>
      <c r="G438" s="120" t="s">
        <v>1613</v>
      </c>
      <c r="H438" s="120" t="s">
        <v>2</v>
      </c>
      <c r="I438" s="120" t="s">
        <v>281</v>
      </c>
      <c r="J438" s="132">
        <v>5.2300902925549092E-2</v>
      </c>
      <c r="K438" s="131" t="s">
        <v>312</v>
      </c>
    </row>
    <row r="439" spans="1:11">
      <c r="A439" s="120" t="s">
        <v>323</v>
      </c>
      <c r="B439" s="120" t="s">
        <v>324</v>
      </c>
      <c r="C439" s="120" t="s">
        <v>117</v>
      </c>
      <c r="D439" s="120" t="s">
        <v>325</v>
      </c>
      <c r="E439" s="122" t="s">
        <v>130</v>
      </c>
      <c r="F439" s="121">
        <v>2015</v>
      </c>
      <c r="G439" s="120" t="s">
        <v>1613</v>
      </c>
      <c r="H439" s="120" t="s">
        <v>2</v>
      </c>
      <c r="I439" s="120" t="s">
        <v>281</v>
      </c>
      <c r="J439" s="132">
        <v>7.3836993764119382E-2</v>
      </c>
      <c r="K439" s="131" t="s">
        <v>312</v>
      </c>
    </row>
    <row r="440" spans="1:11">
      <c r="A440" s="120" t="s">
        <v>414</v>
      </c>
      <c r="B440" s="120" t="s">
        <v>415</v>
      </c>
      <c r="C440" s="120" t="s">
        <v>116</v>
      </c>
      <c r="D440" s="120" t="s">
        <v>322</v>
      </c>
      <c r="E440" s="122" t="s">
        <v>130</v>
      </c>
      <c r="F440" s="121">
        <v>2015</v>
      </c>
      <c r="G440" s="120" t="s">
        <v>1613</v>
      </c>
      <c r="H440" s="120" t="s">
        <v>2</v>
      </c>
      <c r="I440" s="120" t="s">
        <v>281</v>
      </c>
      <c r="J440" s="132">
        <v>6.2296422263347508E-2</v>
      </c>
      <c r="K440" s="131" t="s">
        <v>312</v>
      </c>
    </row>
    <row r="441" spans="1:11">
      <c r="A441" s="120" t="s">
        <v>696</v>
      </c>
      <c r="B441" s="120" t="s">
        <v>697</v>
      </c>
      <c r="C441" s="120" t="s">
        <v>119</v>
      </c>
      <c r="D441" s="120" t="s">
        <v>319</v>
      </c>
      <c r="E441" s="122" t="s">
        <v>130</v>
      </c>
      <c r="F441" s="121">
        <v>2015</v>
      </c>
      <c r="G441" s="120" t="s">
        <v>1613</v>
      </c>
      <c r="H441" s="120" t="s">
        <v>2</v>
      </c>
      <c r="I441" s="120" t="s">
        <v>281</v>
      </c>
      <c r="J441" s="132">
        <v>4.567132236175736E-2</v>
      </c>
      <c r="K441" s="131" t="s">
        <v>312</v>
      </c>
    </row>
    <row r="442" spans="1:11">
      <c r="A442" s="120" t="s">
        <v>612</v>
      </c>
      <c r="B442" s="120" t="s">
        <v>613</v>
      </c>
      <c r="C442" s="120" t="s">
        <v>115</v>
      </c>
      <c r="D442" s="120" t="s">
        <v>121</v>
      </c>
      <c r="E442" s="122" t="s">
        <v>130</v>
      </c>
      <c r="F442" s="121">
        <v>2015</v>
      </c>
      <c r="G442" s="120" t="s">
        <v>1613</v>
      </c>
      <c r="H442" s="120" t="s">
        <v>2</v>
      </c>
      <c r="I442" s="120" t="s">
        <v>281</v>
      </c>
      <c r="J442" s="132">
        <v>0.14393747544138352</v>
      </c>
      <c r="K442" s="131" t="s">
        <v>312</v>
      </c>
    </row>
    <row r="443" spans="1:11">
      <c r="A443" s="120" t="s">
        <v>422</v>
      </c>
      <c r="B443" s="120" t="s">
        <v>423</v>
      </c>
      <c r="C443" s="120" t="s">
        <v>115</v>
      </c>
      <c r="D443" s="120" t="s">
        <v>121</v>
      </c>
      <c r="E443" s="122" t="s">
        <v>130</v>
      </c>
      <c r="F443" s="121">
        <v>2015</v>
      </c>
      <c r="G443" s="120" t="s">
        <v>1613</v>
      </c>
      <c r="H443" s="120" t="s">
        <v>2</v>
      </c>
      <c r="I443" s="120" t="s">
        <v>281</v>
      </c>
      <c r="J443" s="132">
        <v>0.21790909644989259</v>
      </c>
      <c r="K443" s="131" t="s">
        <v>312</v>
      </c>
    </row>
    <row r="444" spans="1:11">
      <c r="A444" s="120" t="s">
        <v>424</v>
      </c>
      <c r="B444" s="120" t="s">
        <v>425</v>
      </c>
      <c r="C444" s="120" t="s">
        <v>119</v>
      </c>
      <c r="D444" s="120" t="s">
        <v>319</v>
      </c>
      <c r="E444" s="122" t="s">
        <v>130</v>
      </c>
      <c r="F444" s="121">
        <v>2015</v>
      </c>
      <c r="G444" s="120" t="s">
        <v>1613</v>
      </c>
      <c r="H444" s="120" t="s">
        <v>2</v>
      </c>
      <c r="I444" s="120" t="s">
        <v>281</v>
      </c>
      <c r="J444" s="132">
        <v>2.2161073761200255E-2</v>
      </c>
      <c r="K444" s="131" t="s">
        <v>312</v>
      </c>
    </row>
    <row r="445" spans="1:11">
      <c r="A445" s="120" t="s">
        <v>428</v>
      </c>
      <c r="B445" s="120" t="s">
        <v>429</v>
      </c>
      <c r="C445" s="120" t="s">
        <v>115</v>
      </c>
      <c r="D445" s="120" t="s">
        <v>121</v>
      </c>
      <c r="E445" s="122" t="s">
        <v>130</v>
      </c>
      <c r="F445" s="121">
        <v>2015</v>
      </c>
      <c r="G445" s="120" t="s">
        <v>1613</v>
      </c>
      <c r="H445" s="120" t="s">
        <v>2</v>
      </c>
      <c r="I445" s="120" t="s">
        <v>281</v>
      </c>
      <c r="J445" s="132">
        <v>0.24115636863283105</v>
      </c>
      <c r="K445" s="131" t="s">
        <v>312</v>
      </c>
    </row>
    <row r="446" spans="1:11">
      <c r="A446" s="120" t="s">
        <v>55</v>
      </c>
      <c r="B446" s="120" t="s">
        <v>56</v>
      </c>
      <c r="C446" s="120" t="s">
        <v>115</v>
      </c>
      <c r="D446" s="120" t="s">
        <v>121</v>
      </c>
      <c r="E446" s="122" t="s">
        <v>130</v>
      </c>
      <c r="F446" s="121">
        <v>2015</v>
      </c>
      <c r="G446" s="120" t="s">
        <v>1613</v>
      </c>
      <c r="H446" s="120" t="s">
        <v>2</v>
      </c>
      <c r="I446" s="120" t="s">
        <v>281</v>
      </c>
      <c r="J446" s="132">
        <v>0.282382283468392</v>
      </c>
      <c r="K446" s="131" t="s">
        <v>312</v>
      </c>
    </row>
    <row r="447" spans="1:11">
      <c r="A447" s="120" t="s">
        <v>662</v>
      </c>
      <c r="B447" s="120" t="s">
        <v>663</v>
      </c>
      <c r="C447" s="120" t="s">
        <v>115</v>
      </c>
      <c r="D447" s="120" t="s">
        <v>121</v>
      </c>
      <c r="E447" s="122" t="s">
        <v>130</v>
      </c>
      <c r="F447" s="121">
        <v>2015</v>
      </c>
      <c r="G447" s="120" t="s">
        <v>1613</v>
      </c>
      <c r="H447" s="120" t="s">
        <v>2</v>
      </c>
      <c r="I447" s="120" t="s">
        <v>281</v>
      </c>
      <c r="J447" s="132">
        <v>0.10674679401012571</v>
      </c>
      <c r="K447" s="131" t="s">
        <v>312</v>
      </c>
    </row>
    <row r="448" spans="1:11">
      <c r="A448" s="120" t="s">
        <v>434</v>
      </c>
      <c r="B448" s="120" t="s">
        <v>435</v>
      </c>
      <c r="C448" s="120" t="s">
        <v>115</v>
      </c>
      <c r="D448" s="120" t="s">
        <v>322</v>
      </c>
      <c r="E448" s="122" t="s">
        <v>130</v>
      </c>
      <c r="F448" s="121">
        <v>2015</v>
      </c>
      <c r="G448" s="120" t="s">
        <v>1613</v>
      </c>
      <c r="H448" s="120" t="s">
        <v>2</v>
      </c>
      <c r="I448" s="120" t="s">
        <v>281</v>
      </c>
      <c r="J448" s="132">
        <v>6.3073145322459973E-2</v>
      </c>
      <c r="K448" s="131" t="s">
        <v>312</v>
      </c>
    </row>
    <row r="449" spans="1:11">
      <c r="A449" s="120" t="s">
        <v>438</v>
      </c>
      <c r="B449" s="120" t="s">
        <v>439</v>
      </c>
      <c r="C449" s="120" t="s">
        <v>119</v>
      </c>
      <c r="D449" s="120" t="s">
        <v>325</v>
      </c>
      <c r="E449" s="122" t="s">
        <v>130</v>
      </c>
      <c r="F449" s="121">
        <v>2015</v>
      </c>
      <c r="G449" s="120" t="s">
        <v>1613</v>
      </c>
      <c r="H449" s="120" t="s">
        <v>2</v>
      </c>
      <c r="I449" s="120" t="s">
        <v>281</v>
      </c>
      <c r="J449" s="132">
        <v>2.4994952586506348E-2</v>
      </c>
      <c r="K449" s="131" t="s">
        <v>312</v>
      </c>
    </row>
    <row r="450" spans="1:11">
      <c r="A450" s="120" t="s">
        <v>446</v>
      </c>
      <c r="B450" s="120" t="s">
        <v>447</v>
      </c>
      <c r="C450" s="120" t="s">
        <v>119</v>
      </c>
      <c r="D450" s="120" t="s">
        <v>325</v>
      </c>
      <c r="E450" s="122" t="s">
        <v>130</v>
      </c>
      <c r="F450" s="121">
        <v>2015</v>
      </c>
      <c r="G450" s="120" t="s">
        <v>1613</v>
      </c>
      <c r="H450" s="120" t="s">
        <v>2</v>
      </c>
      <c r="I450" s="120" t="s">
        <v>281</v>
      </c>
      <c r="J450" s="132">
        <v>4.3025758852594319E-2</v>
      </c>
      <c r="K450" s="131" t="s">
        <v>312</v>
      </c>
    </row>
    <row r="451" spans="1:11">
      <c r="A451" s="120" t="s">
        <v>440</v>
      </c>
      <c r="B451" s="120" t="s">
        <v>441</v>
      </c>
      <c r="C451" s="120" t="s">
        <v>115</v>
      </c>
      <c r="D451" s="120" t="s">
        <v>121</v>
      </c>
      <c r="E451" s="122" t="s">
        <v>130</v>
      </c>
      <c r="F451" s="121">
        <v>2015</v>
      </c>
      <c r="G451" s="120" t="s">
        <v>1613</v>
      </c>
      <c r="H451" s="120" t="s">
        <v>2</v>
      </c>
      <c r="I451" s="120" t="s">
        <v>281</v>
      </c>
      <c r="J451" s="132">
        <v>0.10036167029806528</v>
      </c>
      <c r="K451" s="131" t="s">
        <v>312</v>
      </c>
    </row>
    <row r="452" spans="1:11">
      <c r="A452" s="120" t="s">
        <v>444</v>
      </c>
      <c r="B452" s="120" t="s">
        <v>445</v>
      </c>
      <c r="C452" s="120" t="s">
        <v>116</v>
      </c>
      <c r="D452" s="120" t="s">
        <v>322</v>
      </c>
      <c r="E452" s="122" t="s">
        <v>130</v>
      </c>
      <c r="F452" s="121">
        <v>2015</v>
      </c>
      <c r="G452" s="120" t="s">
        <v>1613</v>
      </c>
      <c r="H452" s="120" t="s">
        <v>2</v>
      </c>
      <c r="I452" s="120" t="s">
        <v>281</v>
      </c>
      <c r="J452" s="132">
        <v>0.15364750881286446</v>
      </c>
      <c r="K452" s="131" t="s">
        <v>312</v>
      </c>
    </row>
    <row r="453" spans="1:11">
      <c r="A453" s="120" t="s">
        <v>450</v>
      </c>
      <c r="B453" s="120" t="s">
        <v>451</v>
      </c>
      <c r="C453" s="120" t="s">
        <v>116</v>
      </c>
      <c r="D453" s="120" t="s">
        <v>121</v>
      </c>
      <c r="E453" s="122" t="s">
        <v>130</v>
      </c>
      <c r="F453" s="121">
        <v>2015</v>
      </c>
      <c r="G453" s="120" t="s">
        <v>1613</v>
      </c>
      <c r="H453" s="120" t="s">
        <v>2</v>
      </c>
      <c r="I453" s="120" t="s">
        <v>281</v>
      </c>
      <c r="J453" s="132">
        <v>5.9248205533506742E-3</v>
      </c>
      <c r="K453" s="131" t="s">
        <v>312</v>
      </c>
    </row>
    <row r="454" spans="1:11">
      <c r="A454" s="120" t="s">
        <v>454</v>
      </c>
      <c r="B454" s="120" t="s">
        <v>455</v>
      </c>
      <c r="C454" s="120" t="s">
        <v>116</v>
      </c>
      <c r="D454" s="120" t="s">
        <v>325</v>
      </c>
      <c r="E454" s="122" t="s">
        <v>130</v>
      </c>
      <c r="F454" s="121">
        <v>2015</v>
      </c>
      <c r="G454" s="120" t="s">
        <v>1613</v>
      </c>
      <c r="H454" s="120" t="s">
        <v>2</v>
      </c>
      <c r="I454" s="120" t="s">
        <v>281</v>
      </c>
      <c r="J454" s="132">
        <v>0.14174769828372286</v>
      </c>
      <c r="K454" s="131" t="s">
        <v>312</v>
      </c>
    </row>
    <row r="455" spans="1:11">
      <c r="A455" s="120" t="s">
        <v>452</v>
      </c>
      <c r="B455" s="120" t="s">
        <v>453</v>
      </c>
      <c r="C455" s="120" t="s">
        <v>116</v>
      </c>
      <c r="D455" s="120" t="s">
        <v>325</v>
      </c>
      <c r="E455" s="122" t="s">
        <v>130</v>
      </c>
      <c r="F455" s="121">
        <v>2015</v>
      </c>
      <c r="G455" s="120" t="s">
        <v>1613</v>
      </c>
      <c r="H455" s="120" t="s">
        <v>2</v>
      </c>
      <c r="I455" s="120" t="s">
        <v>281</v>
      </c>
      <c r="J455" s="132">
        <v>7.6225274792924569E-2</v>
      </c>
      <c r="K455" s="131" t="s">
        <v>312</v>
      </c>
    </row>
    <row r="456" spans="1:11">
      <c r="A456" s="120" t="s">
        <v>464</v>
      </c>
      <c r="B456" s="120" t="s">
        <v>465</v>
      </c>
      <c r="C456" s="120" t="s">
        <v>114</v>
      </c>
      <c r="D456" s="120" t="s">
        <v>322</v>
      </c>
      <c r="E456" s="122" t="s">
        <v>130</v>
      </c>
      <c r="F456" s="121">
        <v>2015</v>
      </c>
      <c r="G456" s="120" t="s">
        <v>1613</v>
      </c>
      <c r="H456" s="120" t="s">
        <v>2</v>
      </c>
      <c r="I456" s="120" t="s">
        <v>281</v>
      </c>
      <c r="J456" s="132">
        <v>6.1350959807846606E-2</v>
      </c>
      <c r="K456" s="131" t="s">
        <v>312</v>
      </c>
    </row>
    <row r="457" spans="1:11">
      <c r="A457" s="120" t="s">
        <v>462</v>
      </c>
      <c r="B457" s="120" t="s">
        <v>463</v>
      </c>
      <c r="C457" s="120" t="s">
        <v>118</v>
      </c>
      <c r="D457" s="120" t="s">
        <v>325</v>
      </c>
      <c r="E457" s="122" t="s">
        <v>130</v>
      </c>
      <c r="F457" s="121">
        <v>2015</v>
      </c>
      <c r="G457" s="120" t="s">
        <v>1613</v>
      </c>
      <c r="H457" s="120" t="s">
        <v>2</v>
      </c>
      <c r="I457" s="120" t="s">
        <v>281</v>
      </c>
      <c r="J457" s="132">
        <v>4.8615738295758402E-2</v>
      </c>
      <c r="K457" s="131" t="s">
        <v>312</v>
      </c>
    </row>
    <row r="458" spans="1:11">
      <c r="A458" s="120" t="s">
        <v>470</v>
      </c>
      <c r="B458" s="120" t="s">
        <v>471</v>
      </c>
      <c r="C458" s="120" t="s">
        <v>115</v>
      </c>
      <c r="D458" s="120" t="s">
        <v>121</v>
      </c>
      <c r="E458" s="122" t="s">
        <v>130</v>
      </c>
      <c r="F458" s="121">
        <v>2015</v>
      </c>
      <c r="G458" s="120" t="s">
        <v>1613</v>
      </c>
      <c r="H458" s="120" t="s">
        <v>2</v>
      </c>
      <c r="I458" s="120" t="s">
        <v>281</v>
      </c>
      <c r="J458" s="132">
        <v>3.0458825561646172E-2</v>
      </c>
      <c r="K458" s="131" t="s">
        <v>312</v>
      </c>
    </row>
    <row r="459" spans="1:11">
      <c r="A459" s="120" t="s">
        <v>468</v>
      </c>
      <c r="B459" s="120" t="s">
        <v>469</v>
      </c>
      <c r="C459" s="120" t="s">
        <v>117</v>
      </c>
      <c r="D459" s="120" t="s">
        <v>322</v>
      </c>
      <c r="E459" s="122" t="s">
        <v>130</v>
      </c>
      <c r="F459" s="121">
        <v>2015</v>
      </c>
      <c r="G459" s="120" t="s">
        <v>1613</v>
      </c>
      <c r="H459" s="120" t="s">
        <v>2</v>
      </c>
      <c r="I459" s="120" t="s">
        <v>281</v>
      </c>
      <c r="J459" s="132">
        <v>9.1941008546208888E-2</v>
      </c>
      <c r="K459" s="131" t="s">
        <v>312</v>
      </c>
    </row>
    <row r="460" spans="1:11">
      <c r="A460" s="120" t="s">
        <v>472</v>
      </c>
      <c r="B460" s="120" t="s">
        <v>473</v>
      </c>
      <c r="C460" s="120" t="s">
        <v>117</v>
      </c>
      <c r="D460" s="120" t="s">
        <v>121</v>
      </c>
      <c r="E460" s="122" t="s">
        <v>130</v>
      </c>
      <c r="F460" s="121">
        <v>2015</v>
      </c>
      <c r="G460" s="120" t="s">
        <v>1613</v>
      </c>
      <c r="H460" s="120" t="s">
        <v>2</v>
      </c>
      <c r="I460" s="120" t="s">
        <v>281</v>
      </c>
      <c r="J460" s="132">
        <v>0.1539553353694994</v>
      </c>
      <c r="K460" s="131" t="s">
        <v>312</v>
      </c>
    </row>
    <row r="461" spans="1:11">
      <c r="A461" s="120" t="s">
        <v>474</v>
      </c>
      <c r="B461" s="120" t="s">
        <v>475</v>
      </c>
      <c r="C461" s="120" t="s">
        <v>115</v>
      </c>
      <c r="D461" s="120" t="s">
        <v>121</v>
      </c>
      <c r="E461" s="122" t="s">
        <v>130</v>
      </c>
      <c r="F461" s="121">
        <v>2015</v>
      </c>
      <c r="G461" s="120" t="s">
        <v>1613</v>
      </c>
      <c r="H461" s="120" t="s">
        <v>2</v>
      </c>
      <c r="I461" s="120" t="s">
        <v>281</v>
      </c>
      <c r="J461" s="132">
        <v>0.17294541949611753</v>
      </c>
      <c r="K461" s="131" t="s">
        <v>312</v>
      </c>
    </row>
    <row r="462" spans="1:11">
      <c r="A462" s="120" t="s">
        <v>476</v>
      </c>
      <c r="B462" s="120" t="s">
        <v>477</v>
      </c>
      <c r="C462" s="120" t="s">
        <v>116</v>
      </c>
      <c r="D462" s="120" t="s">
        <v>322</v>
      </c>
      <c r="E462" s="122" t="s">
        <v>130</v>
      </c>
      <c r="F462" s="121">
        <v>2015</v>
      </c>
      <c r="G462" s="120" t="s">
        <v>1613</v>
      </c>
      <c r="H462" s="120" t="s">
        <v>2</v>
      </c>
      <c r="I462" s="120" t="s">
        <v>281</v>
      </c>
      <c r="J462" s="132">
        <v>0.22066557024129602</v>
      </c>
      <c r="K462" s="131" t="s">
        <v>312</v>
      </c>
    </row>
    <row r="463" spans="1:11">
      <c r="A463" s="120" t="s">
        <v>480</v>
      </c>
      <c r="B463" s="120" t="s">
        <v>481</v>
      </c>
      <c r="C463" s="120" t="s">
        <v>117</v>
      </c>
      <c r="D463" s="120" t="s">
        <v>325</v>
      </c>
      <c r="E463" s="122" t="s">
        <v>130</v>
      </c>
      <c r="F463" s="121">
        <v>2015</v>
      </c>
      <c r="G463" s="120" t="s">
        <v>1613</v>
      </c>
      <c r="H463" s="120" t="s">
        <v>2</v>
      </c>
      <c r="I463" s="120" t="s">
        <v>281</v>
      </c>
      <c r="J463" s="132">
        <v>9.79924458880536E-2</v>
      </c>
      <c r="K463" s="131" t="s">
        <v>312</v>
      </c>
    </row>
    <row r="464" spans="1:11">
      <c r="A464" s="120" t="s">
        <v>478</v>
      </c>
      <c r="B464" s="120" t="s">
        <v>479</v>
      </c>
      <c r="C464" s="120" t="s">
        <v>114</v>
      </c>
      <c r="D464" s="120" t="s">
        <v>121</v>
      </c>
      <c r="E464" s="122" t="s">
        <v>130</v>
      </c>
      <c r="F464" s="121">
        <v>2015</v>
      </c>
      <c r="G464" s="120" t="s">
        <v>1613</v>
      </c>
      <c r="H464" s="120" t="s">
        <v>2</v>
      </c>
      <c r="I464" s="120" t="s">
        <v>281</v>
      </c>
      <c r="J464" s="132">
        <v>4.2860028719376352E-2</v>
      </c>
      <c r="K464" s="131" t="s">
        <v>312</v>
      </c>
    </row>
    <row r="465" spans="1:11">
      <c r="A465" s="120" t="s">
        <v>482</v>
      </c>
      <c r="B465" s="120" t="s">
        <v>483</v>
      </c>
      <c r="C465" s="120" t="s">
        <v>115</v>
      </c>
      <c r="D465" s="120" t="s">
        <v>322</v>
      </c>
      <c r="E465" s="122" t="s">
        <v>130</v>
      </c>
      <c r="F465" s="121">
        <v>2015</v>
      </c>
      <c r="G465" s="120" t="s">
        <v>1613</v>
      </c>
      <c r="H465" s="120" t="s">
        <v>2</v>
      </c>
      <c r="I465" s="120" t="s">
        <v>281</v>
      </c>
      <c r="J465" s="132">
        <v>0.1422238952426238</v>
      </c>
      <c r="K465" s="131" t="s">
        <v>312</v>
      </c>
    </row>
    <row r="466" spans="1:11">
      <c r="A466" s="120" t="s">
        <v>484</v>
      </c>
      <c r="B466" s="120" t="s">
        <v>485</v>
      </c>
      <c r="C466" s="120" t="s">
        <v>119</v>
      </c>
      <c r="D466" s="120" t="s">
        <v>325</v>
      </c>
      <c r="E466" s="122" t="s">
        <v>130</v>
      </c>
      <c r="F466" s="121">
        <v>2015</v>
      </c>
      <c r="G466" s="120" t="s">
        <v>1613</v>
      </c>
      <c r="H466" s="120" t="s">
        <v>2</v>
      </c>
      <c r="I466" s="120" t="s">
        <v>281</v>
      </c>
      <c r="J466" s="132">
        <v>1.0116727062670118E-2</v>
      </c>
      <c r="K466" s="131" t="s">
        <v>312</v>
      </c>
    </row>
    <row r="467" spans="1:11">
      <c r="A467" s="120" t="s">
        <v>374</v>
      </c>
      <c r="B467" s="120" t="s">
        <v>375</v>
      </c>
      <c r="C467" s="120" t="s">
        <v>114</v>
      </c>
      <c r="D467" s="120" t="s">
        <v>325</v>
      </c>
      <c r="E467" s="122" t="s">
        <v>130</v>
      </c>
      <c r="F467" s="121">
        <v>2015</v>
      </c>
      <c r="G467" s="120" t="s">
        <v>1613</v>
      </c>
      <c r="H467" s="120" t="s">
        <v>2</v>
      </c>
      <c r="I467" s="120" t="s">
        <v>281</v>
      </c>
      <c r="J467" s="132">
        <v>5.7605231761098524E-2</v>
      </c>
      <c r="K467" s="131" t="s">
        <v>312</v>
      </c>
    </row>
    <row r="468" spans="1:11">
      <c r="A468" s="120" t="s">
        <v>700</v>
      </c>
      <c r="B468" s="120" t="s">
        <v>701</v>
      </c>
      <c r="C468" s="120" t="s">
        <v>117</v>
      </c>
      <c r="D468" s="120" t="s">
        <v>121</v>
      </c>
      <c r="E468" s="122" t="s">
        <v>130</v>
      </c>
      <c r="F468" s="121">
        <v>2015</v>
      </c>
      <c r="G468" s="120" t="s">
        <v>1613</v>
      </c>
      <c r="H468" s="120" t="s">
        <v>2</v>
      </c>
      <c r="I468" s="120" t="s">
        <v>281</v>
      </c>
      <c r="J468" s="132">
        <v>8.6625909185802374E-2</v>
      </c>
      <c r="K468" s="131" t="s">
        <v>312</v>
      </c>
    </row>
    <row r="469" spans="1:11">
      <c r="A469" s="120" t="s">
        <v>496</v>
      </c>
      <c r="B469" s="120" t="s">
        <v>497</v>
      </c>
      <c r="C469" s="120" t="s">
        <v>117</v>
      </c>
      <c r="D469" s="120" t="s">
        <v>325</v>
      </c>
      <c r="E469" s="122" t="s">
        <v>130</v>
      </c>
      <c r="F469" s="121">
        <v>2015</v>
      </c>
      <c r="G469" s="120" t="s">
        <v>1613</v>
      </c>
      <c r="H469" s="120" t="s">
        <v>2</v>
      </c>
      <c r="I469" s="120" t="s">
        <v>281</v>
      </c>
      <c r="J469" s="132">
        <v>0.14381463377831138</v>
      </c>
      <c r="K469" s="131" t="s">
        <v>312</v>
      </c>
    </row>
    <row r="470" spans="1:11">
      <c r="A470" s="120" t="s">
        <v>500</v>
      </c>
      <c r="B470" s="120" t="s">
        <v>501</v>
      </c>
      <c r="C470" s="120" t="s">
        <v>119</v>
      </c>
      <c r="D470" s="120" t="s">
        <v>319</v>
      </c>
      <c r="E470" s="122" t="s">
        <v>130</v>
      </c>
      <c r="F470" s="121">
        <v>2015</v>
      </c>
      <c r="G470" s="120" t="s">
        <v>1613</v>
      </c>
      <c r="H470" s="120" t="s">
        <v>2</v>
      </c>
      <c r="I470" s="120" t="s">
        <v>281</v>
      </c>
      <c r="J470" s="132">
        <v>4.9483352148204478E-2</v>
      </c>
      <c r="K470" s="131" t="s">
        <v>312</v>
      </c>
    </row>
    <row r="471" spans="1:11">
      <c r="A471" s="120" t="s">
        <v>702</v>
      </c>
      <c r="B471" s="120" t="s">
        <v>703</v>
      </c>
      <c r="C471" s="120" t="s">
        <v>117</v>
      </c>
      <c r="D471" s="120" t="s">
        <v>322</v>
      </c>
      <c r="E471" s="122" t="s">
        <v>130</v>
      </c>
      <c r="F471" s="121">
        <v>2015</v>
      </c>
      <c r="G471" s="120" t="s">
        <v>1613</v>
      </c>
      <c r="H471" s="120" t="s">
        <v>2</v>
      </c>
      <c r="I471" s="120" t="s">
        <v>281</v>
      </c>
      <c r="J471" s="132">
        <v>4.5530205950993573E-2</v>
      </c>
      <c r="K471" s="131" t="s">
        <v>312</v>
      </c>
    </row>
    <row r="472" spans="1:11">
      <c r="A472" s="120" t="s">
        <v>614</v>
      </c>
      <c r="B472" s="120" t="s">
        <v>615</v>
      </c>
      <c r="C472" s="120" t="s">
        <v>118</v>
      </c>
      <c r="D472" s="120" t="s">
        <v>325</v>
      </c>
      <c r="E472" s="122" t="s">
        <v>130</v>
      </c>
      <c r="F472" s="121">
        <v>2015</v>
      </c>
      <c r="G472" s="120" t="s">
        <v>1613</v>
      </c>
      <c r="H472" s="120" t="s">
        <v>2</v>
      </c>
      <c r="I472" s="120" t="s">
        <v>281</v>
      </c>
      <c r="J472" s="132">
        <v>9.1545129775753964E-2</v>
      </c>
      <c r="K472" s="131" t="s">
        <v>312</v>
      </c>
    </row>
    <row r="473" spans="1:11">
      <c r="A473" s="120" t="s">
        <v>498</v>
      </c>
      <c r="B473" s="120" t="s">
        <v>499</v>
      </c>
      <c r="C473" s="120" t="s">
        <v>119</v>
      </c>
      <c r="D473" s="120" t="s">
        <v>325</v>
      </c>
      <c r="E473" s="122" t="s">
        <v>130</v>
      </c>
      <c r="F473" s="121">
        <v>2015</v>
      </c>
      <c r="G473" s="120" t="s">
        <v>1613</v>
      </c>
      <c r="H473" s="120" t="s">
        <v>2</v>
      </c>
      <c r="I473" s="120" t="s">
        <v>281</v>
      </c>
      <c r="J473" s="132">
        <v>5.4160425218131546E-2</v>
      </c>
      <c r="K473" s="131" t="s">
        <v>312</v>
      </c>
    </row>
    <row r="474" spans="1:11">
      <c r="A474" s="120" t="s">
        <v>502</v>
      </c>
      <c r="B474" s="120" t="s">
        <v>503</v>
      </c>
      <c r="C474" s="120" t="s">
        <v>115</v>
      </c>
      <c r="D474" s="120" t="s">
        <v>121</v>
      </c>
      <c r="E474" s="122" t="s">
        <v>130</v>
      </c>
      <c r="F474" s="121">
        <v>2015</v>
      </c>
      <c r="G474" s="120" t="s">
        <v>1613</v>
      </c>
      <c r="H474" s="120" t="s">
        <v>2</v>
      </c>
      <c r="I474" s="120" t="s">
        <v>281</v>
      </c>
      <c r="J474" s="132">
        <v>1.1022932314140397E-2</v>
      </c>
      <c r="K474" s="131" t="s">
        <v>312</v>
      </c>
    </row>
    <row r="475" spans="1:11">
      <c r="A475" s="120" t="s">
        <v>504</v>
      </c>
      <c r="B475" s="120" t="s">
        <v>505</v>
      </c>
      <c r="C475" s="120" t="s">
        <v>115</v>
      </c>
      <c r="D475" s="120" t="s">
        <v>121</v>
      </c>
      <c r="E475" s="122" t="s">
        <v>130</v>
      </c>
      <c r="F475" s="121">
        <v>2015</v>
      </c>
      <c r="G475" s="120" t="s">
        <v>1613</v>
      </c>
      <c r="H475" s="120" t="s">
        <v>2</v>
      </c>
      <c r="I475" s="120" t="s">
        <v>281</v>
      </c>
      <c r="J475" s="132">
        <v>0.26264439800410849</v>
      </c>
      <c r="K475" s="131" t="s">
        <v>312</v>
      </c>
    </row>
    <row r="476" spans="1:11">
      <c r="A476" s="120" t="s">
        <v>494</v>
      </c>
      <c r="B476" s="120" t="s">
        <v>495</v>
      </c>
      <c r="C476" s="120" t="s">
        <v>115</v>
      </c>
      <c r="D476" s="120" t="s">
        <v>121</v>
      </c>
      <c r="E476" s="122" t="s">
        <v>130</v>
      </c>
      <c r="F476" s="121">
        <v>2015</v>
      </c>
      <c r="G476" s="120" t="s">
        <v>1613</v>
      </c>
      <c r="H476" s="120" t="s">
        <v>2</v>
      </c>
      <c r="I476" s="120" t="s">
        <v>281</v>
      </c>
      <c r="J476" s="132">
        <v>6.7739777672511832E-3</v>
      </c>
      <c r="K476" s="131" t="s">
        <v>312</v>
      </c>
    </row>
    <row r="477" spans="1:11">
      <c r="A477" s="120" t="s">
        <v>536</v>
      </c>
      <c r="B477" s="120" t="s">
        <v>537</v>
      </c>
      <c r="C477" s="120" t="s">
        <v>117</v>
      </c>
      <c r="D477" s="120" t="s">
        <v>325</v>
      </c>
      <c r="E477" s="122" t="s">
        <v>130</v>
      </c>
      <c r="F477" s="121">
        <v>2015</v>
      </c>
      <c r="G477" s="120" t="s">
        <v>1613</v>
      </c>
      <c r="H477" s="120" t="s">
        <v>2</v>
      </c>
      <c r="I477" s="120" t="s">
        <v>281</v>
      </c>
      <c r="J477" s="132">
        <v>6.3696065902641777E-2</v>
      </c>
      <c r="K477" s="131" t="s">
        <v>312</v>
      </c>
    </row>
    <row r="478" spans="1:11">
      <c r="A478" s="120" t="s">
        <v>530</v>
      </c>
      <c r="B478" s="120" t="s">
        <v>531</v>
      </c>
      <c r="C478" s="120" t="s">
        <v>115</v>
      </c>
      <c r="D478" s="120" t="s">
        <v>322</v>
      </c>
      <c r="E478" s="122" t="s">
        <v>130</v>
      </c>
      <c r="F478" s="121">
        <v>2015</v>
      </c>
      <c r="G478" s="120" t="s">
        <v>1613</v>
      </c>
      <c r="H478" s="120" t="s">
        <v>2</v>
      </c>
      <c r="I478" s="120" t="s">
        <v>281</v>
      </c>
      <c r="J478" s="132">
        <v>7.2704014606588208E-2</v>
      </c>
      <c r="K478" s="131" t="s">
        <v>312</v>
      </c>
    </row>
    <row r="479" spans="1:11">
      <c r="A479" s="120" t="s">
        <v>510</v>
      </c>
      <c r="B479" s="120" t="s">
        <v>511</v>
      </c>
      <c r="C479" s="120" t="s">
        <v>119</v>
      </c>
      <c r="D479" s="120" t="s">
        <v>319</v>
      </c>
      <c r="E479" s="122" t="s">
        <v>130</v>
      </c>
      <c r="F479" s="121">
        <v>2015</v>
      </c>
      <c r="G479" s="120" t="s">
        <v>1613</v>
      </c>
      <c r="H479" s="120" t="s">
        <v>2</v>
      </c>
      <c r="I479" s="120" t="s">
        <v>281</v>
      </c>
      <c r="J479" s="132">
        <v>3.2991285293139092E-2</v>
      </c>
      <c r="K479" s="131" t="s">
        <v>312</v>
      </c>
    </row>
    <row r="480" spans="1:11">
      <c r="A480" s="120" t="s">
        <v>526</v>
      </c>
      <c r="B480" s="120" t="s">
        <v>527</v>
      </c>
      <c r="C480" s="120" t="s">
        <v>116</v>
      </c>
      <c r="D480" s="120" t="s">
        <v>322</v>
      </c>
      <c r="E480" s="122" t="s">
        <v>130</v>
      </c>
      <c r="F480" s="121">
        <v>2015</v>
      </c>
      <c r="G480" s="120" t="s">
        <v>1613</v>
      </c>
      <c r="H480" s="120" t="s">
        <v>2</v>
      </c>
      <c r="I480" s="120" t="s">
        <v>281</v>
      </c>
      <c r="J480" s="132">
        <v>0.1022698576169918</v>
      </c>
      <c r="K480" s="131" t="s">
        <v>312</v>
      </c>
    </row>
    <row r="481" spans="1:11">
      <c r="A481" s="120" t="s">
        <v>518</v>
      </c>
      <c r="B481" s="120" t="s">
        <v>519</v>
      </c>
      <c r="C481" s="120" t="s">
        <v>119</v>
      </c>
      <c r="D481" s="120" t="s">
        <v>319</v>
      </c>
      <c r="E481" s="122" t="s">
        <v>130</v>
      </c>
      <c r="F481" s="121">
        <v>2015</v>
      </c>
      <c r="G481" s="120" t="s">
        <v>1613</v>
      </c>
      <c r="H481" s="120" t="s">
        <v>2</v>
      </c>
      <c r="I481" s="120" t="s">
        <v>281</v>
      </c>
      <c r="J481" s="132">
        <v>2.8308788507017148E-2</v>
      </c>
      <c r="K481" s="131" t="s">
        <v>312</v>
      </c>
    </row>
    <row r="482" spans="1:11">
      <c r="A482" s="120" t="s">
        <v>540</v>
      </c>
      <c r="B482" s="120" t="s">
        <v>541</v>
      </c>
      <c r="C482" s="120" t="s">
        <v>114</v>
      </c>
      <c r="D482" s="120" t="s">
        <v>325</v>
      </c>
      <c r="E482" s="122" t="s">
        <v>130</v>
      </c>
      <c r="F482" s="121">
        <v>2015</v>
      </c>
      <c r="G482" s="120" t="s">
        <v>1613</v>
      </c>
      <c r="H482" s="120" t="s">
        <v>2</v>
      </c>
      <c r="I482" s="120" t="s">
        <v>281</v>
      </c>
      <c r="J482" s="132">
        <v>4.0594952919868567E-2</v>
      </c>
      <c r="K482" s="131" t="s">
        <v>312</v>
      </c>
    </row>
    <row r="483" spans="1:11">
      <c r="A483" s="120" t="s">
        <v>532</v>
      </c>
      <c r="B483" s="120" t="s">
        <v>533</v>
      </c>
      <c r="C483" s="120" t="s">
        <v>114</v>
      </c>
      <c r="D483" s="120" t="s">
        <v>325</v>
      </c>
      <c r="E483" s="122" t="s">
        <v>130</v>
      </c>
      <c r="F483" s="121">
        <v>2015</v>
      </c>
      <c r="G483" s="120" t="s">
        <v>1613</v>
      </c>
      <c r="H483" s="120" t="s">
        <v>2</v>
      </c>
      <c r="I483" s="120" t="s">
        <v>281</v>
      </c>
      <c r="J483" s="132">
        <v>0.1068480979248838</v>
      </c>
      <c r="K483" s="131" t="s">
        <v>312</v>
      </c>
    </row>
    <row r="484" spans="1:11">
      <c r="A484" s="120" t="s">
        <v>538</v>
      </c>
      <c r="B484" s="120" t="s">
        <v>539</v>
      </c>
      <c r="C484" s="120" t="s">
        <v>119</v>
      </c>
      <c r="D484" s="120" t="s">
        <v>319</v>
      </c>
      <c r="E484" s="122" t="s">
        <v>130</v>
      </c>
      <c r="F484" s="121">
        <v>2015</v>
      </c>
      <c r="G484" s="120" t="s">
        <v>1613</v>
      </c>
      <c r="H484" s="120" t="s">
        <v>2</v>
      </c>
      <c r="I484" s="120" t="s">
        <v>281</v>
      </c>
      <c r="J484" s="132">
        <v>5.5506385981690262E-2</v>
      </c>
      <c r="K484" s="131" t="s">
        <v>312</v>
      </c>
    </row>
    <row r="485" spans="1:11">
      <c r="A485" s="120" t="s">
        <v>522</v>
      </c>
      <c r="B485" s="120" t="s">
        <v>523</v>
      </c>
      <c r="C485" s="120" t="s">
        <v>119</v>
      </c>
      <c r="D485" s="120" t="s">
        <v>325</v>
      </c>
      <c r="E485" s="122" t="s">
        <v>130</v>
      </c>
      <c r="F485" s="121">
        <v>2015</v>
      </c>
      <c r="G485" s="120" t="s">
        <v>1613</v>
      </c>
      <c r="H485" s="120" t="s">
        <v>2</v>
      </c>
      <c r="I485" s="120" t="s">
        <v>281</v>
      </c>
      <c r="J485" s="132">
        <v>2.372631519589261E-3</v>
      </c>
      <c r="K485" s="131" t="s">
        <v>312</v>
      </c>
    </row>
    <row r="486" spans="1:11">
      <c r="A486" s="120" t="s">
        <v>512</v>
      </c>
      <c r="B486" s="120" t="s">
        <v>513</v>
      </c>
      <c r="C486" s="120" t="s">
        <v>119</v>
      </c>
      <c r="D486" s="120" t="s">
        <v>319</v>
      </c>
      <c r="E486" s="122" t="s">
        <v>130</v>
      </c>
      <c r="F486" s="121">
        <v>2015</v>
      </c>
      <c r="G486" s="120" t="s">
        <v>1613</v>
      </c>
      <c r="H486" s="120" t="s">
        <v>2</v>
      </c>
      <c r="I486" s="120" t="s">
        <v>281</v>
      </c>
      <c r="J486" s="132">
        <v>3.0896766564534654E-2</v>
      </c>
      <c r="K486" s="131" t="s">
        <v>312</v>
      </c>
    </row>
    <row r="487" spans="1:11">
      <c r="A487" s="120" t="s">
        <v>514</v>
      </c>
      <c r="B487" s="120" t="s">
        <v>515</v>
      </c>
      <c r="C487" s="120" t="s">
        <v>114</v>
      </c>
      <c r="D487" s="120" t="s">
        <v>322</v>
      </c>
      <c r="E487" s="122" t="s">
        <v>130</v>
      </c>
      <c r="F487" s="121">
        <v>2015</v>
      </c>
      <c r="G487" s="120" t="s">
        <v>1613</v>
      </c>
      <c r="H487" s="120" t="s">
        <v>2</v>
      </c>
      <c r="I487" s="120" t="s">
        <v>281</v>
      </c>
      <c r="J487" s="132">
        <v>1.7718515274784751E-2</v>
      </c>
      <c r="K487" s="131" t="s">
        <v>312</v>
      </c>
    </row>
    <row r="488" spans="1:11">
      <c r="A488" s="120" t="s">
        <v>542</v>
      </c>
      <c r="B488" s="120" t="s">
        <v>543</v>
      </c>
      <c r="C488" s="120" t="s">
        <v>119</v>
      </c>
      <c r="D488" s="120" t="s">
        <v>322</v>
      </c>
      <c r="E488" s="122" t="s">
        <v>130</v>
      </c>
      <c r="F488" s="121">
        <v>2015</v>
      </c>
      <c r="G488" s="120" t="s">
        <v>1613</v>
      </c>
      <c r="H488" s="120" t="s">
        <v>2</v>
      </c>
      <c r="I488" s="120" t="s">
        <v>281</v>
      </c>
      <c r="J488" s="132">
        <v>1.9601817669544989E-2</v>
      </c>
      <c r="K488" s="131" t="s">
        <v>312</v>
      </c>
    </row>
    <row r="489" spans="1:11">
      <c r="A489" s="120" t="s">
        <v>552</v>
      </c>
      <c r="B489" s="120" t="s">
        <v>553</v>
      </c>
      <c r="C489" s="120" t="s">
        <v>119</v>
      </c>
      <c r="D489" s="120" t="s">
        <v>319</v>
      </c>
      <c r="E489" s="122" t="s">
        <v>130</v>
      </c>
      <c r="F489" s="121">
        <v>2015</v>
      </c>
      <c r="G489" s="120" t="s">
        <v>1613</v>
      </c>
      <c r="H489" s="120" t="s">
        <v>2</v>
      </c>
      <c r="I489" s="120" t="s">
        <v>281</v>
      </c>
      <c r="J489" s="132">
        <v>1.4832111990366206E-2</v>
      </c>
      <c r="K489" s="131" t="s">
        <v>312</v>
      </c>
    </row>
    <row r="490" spans="1:11">
      <c r="A490" s="120" t="s">
        <v>554</v>
      </c>
      <c r="B490" s="120" t="s">
        <v>555</v>
      </c>
      <c r="C490" s="120" t="s">
        <v>119</v>
      </c>
      <c r="D490" s="120" t="s">
        <v>325</v>
      </c>
      <c r="E490" s="122" t="s">
        <v>130</v>
      </c>
      <c r="F490" s="121">
        <v>2015</v>
      </c>
      <c r="G490" s="120" t="s">
        <v>1613</v>
      </c>
      <c r="H490" s="120" t="s">
        <v>2</v>
      </c>
      <c r="I490" s="120" t="s">
        <v>281</v>
      </c>
      <c r="J490" s="132">
        <v>7.8943736965377417E-2</v>
      </c>
      <c r="K490" s="131" t="s">
        <v>312</v>
      </c>
    </row>
    <row r="491" spans="1:11">
      <c r="A491" s="120" t="s">
        <v>550</v>
      </c>
      <c r="B491" s="120" t="s">
        <v>551</v>
      </c>
      <c r="C491" s="120" t="s">
        <v>116</v>
      </c>
      <c r="D491" s="120" t="s">
        <v>325</v>
      </c>
      <c r="E491" s="122" t="s">
        <v>130</v>
      </c>
      <c r="F491" s="121">
        <v>2015</v>
      </c>
      <c r="G491" s="120" t="s">
        <v>1613</v>
      </c>
      <c r="H491" s="120" t="s">
        <v>2</v>
      </c>
      <c r="I491" s="120" t="s">
        <v>281</v>
      </c>
      <c r="J491" s="132">
        <v>2.5518139406709037E-2</v>
      </c>
      <c r="K491" s="131" t="s">
        <v>312</v>
      </c>
    </row>
    <row r="492" spans="1:11">
      <c r="A492" s="120" t="s">
        <v>546</v>
      </c>
      <c r="B492" s="120" t="s">
        <v>547</v>
      </c>
      <c r="C492" s="120" t="s">
        <v>115</v>
      </c>
      <c r="D492" s="120" t="s">
        <v>121</v>
      </c>
      <c r="E492" s="122" t="s">
        <v>130</v>
      </c>
      <c r="F492" s="121">
        <v>2015</v>
      </c>
      <c r="G492" s="120" t="s">
        <v>1613</v>
      </c>
      <c r="H492" s="120" t="s">
        <v>2</v>
      </c>
      <c r="I492" s="120" t="s">
        <v>281</v>
      </c>
      <c r="J492" s="132">
        <v>5.5561456853817803E-2</v>
      </c>
      <c r="K492" s="131" t="s">
        <v>312</v>
      </c>
    </row>
    <row r="493" spans="1:11">
      <c r="A493" s="120" t="s">
        <v>556</v>
      </c>
      <c r="B493" s="120" t="s">
        <v>557</v>
      </c>
      <c r="C493" s="120" t="s">
        <v>115</v>
      </c>
      <c r="D493" s="120" t="s">
        <v>121</v>
      </c>
      <c r="E493" s="122" t="s">
        <v>130</v>
      </c>
      <c r="F493" s="121">
        <v>2015</v>
      </c>
      <c r="G493" s="120" t="s">
        <v>1613</v>
      </c>
      <c r="H493" s="120" t="s">
        <v>2</v>
      </c>
      <c r="I493" s="120" t="s">
        <v>281</v>
      </c>
      <c r="J493" s="132">
        <v>1.4337022698325513E-2</v>
      </c>
      <c r="K493" s="131" t="s">
        <v>312</v>
      </c>
    </row>
    <row r="494" spans="1:11">
      <c r="A494" s="120" t="s">
        <v>544</v>
      </c>
      <c r="B494" s="120" t="s">
        <v>545</v>
      </c>
      <c r="C494" s="120" t="s">
        <v>118</v>
      </c>
      <c r="D494" s="120" t="s">
        <v>325</v>
      </c>
      <c r="E494" s="122" t="s">
        <v>130</v>
      </c>
      <c r="F494" s="121">
        <v>2015</v>
      </c>
      <c r="G494" s="120" t="s">
        <v>1613</v>
      </c>
      <c r="H494" s="120" t="s">
        <v>2</v>
      </c>
      <c r="I494" s="120" t="s">
        <v>281</v>
      </c>
      <c r="J494" s="132">
        <v>4.5933451836435948E-2</v>
      </c>
      <c r="K494" s="131" t="s">
        <v>312</v>
      </c>
    </row>
    <row r="495" spans="1:11">
      <c r="A495" s="120" t="s">
        <v>548</v>
      </c>
      <c r="B495" s="120" t="s">
        <v>549</v>
      </c>
      <c r="C495" s="120" t="s">
        <v>114</v>
      </c>
      <c r="D495" s="120" t="s">
        <v>121</v>
      </c>
      <c r="E495" s="122" t="s">
        <v>130</v>
      </c>
      <c r="F495" s="121">
        <v>2015</v>
      </c>
      <c r="G495" s="120" t="s">
        <v>1613</v>
      </c>
      <c r="H495" s="120" t="s">
        <v>2</v>
      </c>
      <c r="I495" s="120" t="s">
        <v>281</v>
      </c>
      <c r="J495" s="132">
        <v>2.2817136230885944E-2</v>
      </c>
      <c r="K495" s="131" t="s">
        <v>312</v>
      </c>
    </row>
    <row r="496" spans="1:11">
      <c r="A496" s="120" t="s">
        <v>710</v>
      </c>
      <c r="B496" s="120" t="s">
        <v>711</v>
      </c>
      <c r="C496" s="120" t="s">
        <v>117</v>
      </c>
      <c r="D496" s="120" t="s">
        <v>121</v>
      </c>
      <c r="E496" s="122" t="s">
        <v>130</v>
      </c>
      <c r="F496" s="121">
        <v>2015</v>
      </c>
      <c r="G496" s="120" t="s">
        <v>1613</v>
      </c>
      <c r="H496" s="120" t="s">
        <v>2</v>
      </c>
      <c r="I496" s="120" t="s">
        <v>281</v>
      </c>
      <c r="J496" s="132">
        <v>4.7225604421510525E-2</v>
      </c>
      <c r="K496" s="131" t="s">
        <v>312</v>
      </c>
    </row>
    <row r="497" spans="1:11">
      <c r="A497" s="120" t="s">
        <v>558</v>
      </c>
      <c r="B497" s="120" t="s">
        <v>559</v>
      </c>
      <c r="C497" s="120" t="s">
        <v>118</v>
      </c>
      <c r="D497" s="120" t="s">
        <v>325</v>
      </c>
      <c r="E497" s="122" t="s">
        <v>130</v>
      </c>
      <c r="F497" s="121">
        <v>2015</v>
      </c>
      <c r="G497" s="120" t="s">
        <v>1613</v>
      </c>
      <c r="H497" s="120" t="s">
        <v>2</v>
      </c>
      <c r="I497" s="120" t="s">
        <v>281</v>
      </c>
      <c r="J497" s="132">
        <v>4.8369169475031268E-2</v>
      </c>
      <c r="K497" s="131" t="s">
        <v>312</v>
      </c>
    </row>
    <row r="498" spans="1:11">
      <c r="A498" s="120" t="s">
        <v>562</v>
      </c>
      <c r="B498" s="120" t="s">
        <v>563</v>
      </c>
      <c r="C498" s="120" t="s">
        <v>116</v>
      </c>
      <c r="D498" s="120" t="s">
        <v>121</v>
      </c>
      <c r="E498" s="122" t="s">
        <v>130</v>
      </c>
      <c r="F498" s="121">
        <v>2015</v>
      </c>
      <c r="G498" s="120" t="s">
        <v>1613</v>
      </c>
      <c r="H498" s="120" t="s">
        <v>2</v>
      </c>
      <c r="I498" s="120" t="s">
        <v>281</v>
      </c>
      <c r="J498" s="132">
        <v>2.9594872903628095E-3</v>
      </c>
      <c r="K498" s="131" t="s">
        <v>312</v>
      </c>
    </row>
    <row r="499" spans="1:11">
      <c r="A499" s="120" t="s">
        <v>568</v>
      </c>
      <c r="B499" s="120" t="s">
        <v>569</v>
      </c>
      <c r="C499" s="120" t="s">
        <v>116</v>
      </c>
      <c r="D499" s="120" t="s">
        <v>322</v>
      </c>
      <c r="E499" s="122" t="s">
        <v>130</v>
      </c>
      <c r="F499" s="121">
        <v>2015</v>
      </c>
      <c r="G499" s="120" t="s">
        <v>1613</v>
      </c>
      <c r="H499" s="120" t="s">
        <v>2</v>
      </c>
      <c r="I499" s="120" t="s">
        <v>281</v>
      </c>
      <c r="J499" s="132">
        <v>8.728026527527312E-2</v>
      </c>
      <c r="K499" s="131" t="s">
        <v>312</v>
      </c>
    </row>
    <row r="500" spans="1:11">
      <c r="A500" s="120" t="s">
        <v>570</v>
      </c>
      <c r="B500" s="120" t="s">
        <v>571</v>
      </c>
      <c r="C500" s="120" t="s">
        <v>114</v>
      </c>
      <c r="D500" s="120" t="s">
        <v>325</v>
      </c>
      <c r="E500" s="122" t="s">
        <v>130</v>
      </c>
      <c r="F500" s="121">
        <v>2015</v>
      </c>
      <c r="G500" s="120" t="s">
        <v>1613</v>
      </c>
      <c r="H500" s="120" t="s">
        <v>2</v>
      </c>
      <c r="I500" s="120" t="s">
        <v>281</v>
      </c>
      <c r="J500" s="132">
        <v>8.2677657870976681E-2</v>
      </c>
      <c r="K500" s="131" t="s">
        <v>312</v>
      </c>
    </row>
    <row r="501" spans="1:11">
      <c r="A501" s="120" t="s">
        <v>564</v>
      </c>
      <c r="B501" s="120" t="s">
        <v>565</v>
      </c>
      <c r="C501" s="120" t="s">
        <v>114</v>
      </c>
      <c r="D501" s="120" t="s">
        <v>325</v>
      </c>
      <c r="E501" s="122" t="s">
        <v>130</v>
      </c>
      <c r="F501" s="121">
        <v>2015</v>
      </c>
      <c r="G501" s="120" t="s">
        <v>1613</v>
      </c>
      <c r="H501" s="120" t="s">
        <v>2</v>
      </c>
      <c r="I501" s="120" t="s">
        <v>281</v>
      </c>
      <c r="J501" s="132">
        <v>3.2584246055129607E-3</v>
      </c>
      <c r="K501" s="131" t="s">
        <v>312</v>
      </c>
    </row>
    <row r="502" spans="1:11">
      <c r="A502" s="120" t="s">
        <v>572</v>
      </c>
      <c r="B502" s="120" t="s">
        <v>573</v>
      </c>
      <c r="C502" s="120" t="s">
        <v>115</v>
      </c>
      <c r="D502" s="120" t="s">
        <v>121</v>
      </c>
      <c r="E502" s="122" t="s">
        <v>130</v>
      </c>
      <c r="F502" s="121">
        <v>2015</v>
      </c>
      <c r="G502" s="120" t="s">
        <v>1613</v>
      </c>
      <c r="H502" s="120" t="s">
        <v>2</v>
      </c>
      <c r="I502" s="120" t="s">
        <v>281</v>
      </c>
      <c r="J502" s="132">
        <v>3.692504441140107E-2</v>
      </c>
      <c r="K502" s="131" t="s">
        <v>312</v>
      </c>
    </row>
    <row r="503" spans="1:11">
      <c r="A503" s="120" t="s">
        <v>574</v>
      </c>
      <c r="B503" s="120" t="s">
        <v>575</v>
      </c>
      <c r="C503" s="120" t="s">
        <v>115</v>
      </c>
      <c r="D503" s="120" t="s">
        <v>121</v>
      </c>
      <c r="E503" s="122" t="s">
        <v>130</v>
      </c>
      <c r="F503" s="121">
        <v>2015</v>
      </c>
      <c r="G503" s="120" t="s">
        <v>1613</v>
      </c>
      <c r="H503" s="120" t="s">
        <v>2</v>
      </c>
      <c r="I503" s="120" t="s">
        <v>281</v>
      </c>
      <c r="J503" s="132">
        <v>0.16565657568173034</v>
      </c>
      <c r="K503" s="131" t="s">
        <v>312</v>
      </c>
    </row>
    <row r="504" spans="1:11">
      <c r="A504" s="120" t="s">
        <v>566</v>
      </c>
      <c r="B504" s="120" t="s">
        <v>567</v>
      </c>
      <c r="C504" s="120" t="s">
        <v>116</v>
      </c>
      <c r="D504" s="120" t="s">
        <v>322</v>
      </c>
      <c r="E504" s="122" t="s">
        <v>130</v>
      </c>
      <c r="F504" s="121">
        <v>2015</v>
      </c>
      <c r="G504" s="120" t="s">
        <v>1613</v>
      </c>
      <c r="H504" s="120" t="s">
        <v>2</v>
      </c>
      <c r="I504" s="120" t="s">
        <v>281</v>
      </c>
      <c r="J504" s="132">
        <v>2.0308078179681171E-6</v>
      </c>
      <c r="K504" s="131" t="s">
        <v>312</v>
      </c>
    </row>
    <row r="505" spans="1:11">
      <c r="A505" s="120" t="s">
        <v>578</v>
      </c>
      <c r="B505" s="120" t="s">
        <v>579</v>
      </c>
      <c r="C505" s="120" t="s">
        <v>117</v>
      </c>
      <c r="D505" s="120" t="s">
        <v>121</v>
      </c>
      <c r="E505" s="122" t="s">
        <v>130</v>
      </c>
      <c r="F505" s="121">
        <v>2015</v>
      </c>
      <c r="G505" s="120" t="s">
        <v>1613</v>
      </c>
      <c r="H505" s="120" t="s">
        <v>2</v>
      </c>
      <c r="I505" s="120" t="s">
        <v>281</v>
      </c>
      <c r="J505" s="132">
        <v>0.10025485861130451</v>
      </c>
      <c r="K505" s="131" t="s">
        <v>312</v>
      </c>
    </row>
    <row r="506" spans="1:11">
      <c r="A506" s="120" t="s">
        <v>580</v>
      </c>
      <c r="B506" s="120" t="s">
        <v>581</v>
      </c>
      <c r="C506" s="120" t="s">
        <v>115</v>
      </c>
      <c r="D506" s="120" t="s">
        <v>121</v>
      </c>
      <c r="E506" s="122" t="s">
        <v>130</v>
      </c>
      <c r="F506" s="121">
        <v>2015</v>
      </c>
      <c r="G506" s="120" t="s">
        <v>1613</v>
      </c>
      <c r="H506" s="120" t="s">
        <v>2</v>
      </c>
      <c r="I506" s="120" t="s">
        <v>281</v>
      </c>
      <c r="J506" s="132">
        <v>3.9440226723407031E-2</v>
      </c>
      <c r="K506" s="131" t="s">
        <v>312</v>
      </c>
    </row>
    <row r="507" spans="1:11">
      <c r="A507" s="120" t="s">
        <v>584</v>
      </c>
      <c r="B507" s="120" t="s">
        <v>585</v>
      </c>
      <c r="C507" s="120" t="s">
        <v>119</v>
      </c>
      <c r="D507" s="120" t="s">
        <v>319</v>
      </c>
      <c r="E507" s="122" t="s">
        <v>130</v>
      </c>
      <c r="F507" s="121">
        <v>2015</v>
      </c>
      <c r="G507" s="120" t="s">
        <v>1613</v>
      </c>
      <c r="H507" s="120" t="s">
        <v>2</v>
      </c>
      <c r="I507" s="120" t="s">
        <v>281</v>
      </c>
      <c r="J507" s="132">
        <v>4.868013278951604E-3</v>
      </c>
      <c r="K507" s="131" t="s">
        <v>312</v>
      </c>
    </row>
    <row r="508" spans="1:11">
      <c r="A508" s="120" t="s">
        <v>590</v>
      </c>
      <c r="B508" s="120" t="s">
        <v>591</v>
      </c>
      <c r="C508" s="120" t="s">
        <v>117</v>
      </c>
      <c r="D508" s="120" t="s">
        <v>121</v>
      </c>
      <c r="E508" s="122" t="s">
        <v>130</v>
      </c>
      <c r="F508" s="121">
        <v>2015</v>
      </c>
      <c r="G508" s="120" t="s">
        <v>1613</v>
      </c>
      <c r="H508" s="120" t="s">
        <v>2</v>
      </c>
      <c r="I508" s="120" t="s">
        <v>281</v>
      </c>
      <c r="J508" s="132">
        <v>6.9867787303938222E-2</v>
      </c>
      <c r="K508" s="131" t="s">
        <v>312</v>
      </c>
    </row>
    <row r="509" spans="1:11">
      <c r="A509" s="120" t="s">
        <v>622</v>
      </c>
      <c r="B509" s="120" t="s">
        <v>623</v>
      </c>
      <c r="C509" s="120" t="s">
        <v>119</v>
      </c>
      <c r="D509" s="120" t="s">
        <v>319</v>
      </c>
      <c r="E509" s="122" t="s">
        <v>130</v>
      </c>
      <c r="F509" s="121">
        <v>2015</v>
      </c>
      <c r="G509" s="120" t="s">
        <v>1613</v>
      </c>
      <c r="H509" s="120" t="s">
        <v>2</v>
      </c>
      <c r="I509" s="120" t="s">
        <v>281</v>
      </c>
      <c r="J509" s="132">
        <v>5.5812562143549398E-2</v>
      </c>
      <c r="K509" s="131" t="s">
        <v>312</v>
      </c>
    </row>
    <row r="510" spans="1:11">
      <c r="A510" s="120" t="s">
        <v>592</v>
      </c>
      <c r="B510" s="120" t="s">
        <v>593</v>
      </c>
      <c r="C510" s="120" t="s">
        <v>119</v>
      </c>
      <c r="D510" s="120" t="s">
        <v>325</v>
      </c>
      <c r="E510" s="122" t="s">
        <v>130</v>
      </c>
      <c r="F510" s="121">
        <v>2015</v>
      </c>
      <c r="G510" s="120" t="s">
        <v>1613</v>
      </c>
      <c r="H510" s="120" t="s">
        <v>2</v>
      </c>
      <c r="I510" s="120" t="s">
        <v>281</v>
      </c>
      <c r="J510" s="132">
        <v>2.8913399544563567E-2</v>
      </c>
      <c r="K510" s="131" t="s">
        <v>312</v>
      </c>
    </row>
    <row r="511" spans="1:11">
      <c r="A511" s="120" t="s">
        <v>598</v>
      </c>
      <c r="B511" s="120" t="s">
        <v>599</v>
      </c>
      <c r="C511" s="120" t="s">
        <v>119</v>
      </c>
      <c r="D511" s="120" t="s">
        <v>319</v>
      </c>
      <c r="E511" s="122" t="s">
        <v>130</v>
      </c>
      <c r="F511" s="121">
        <v>2015</v>
      </c>
      <c r="G511" s="120" t="s">
        <v>1613</v>
      </c>
      <c r="H511" s="120" t="s">
        <v>2</v>
      </c>
      <c r="I511" s="120" t="s">
        <v>281</v>
      </c>
      <c r="J511" s="132">
        <v>7.9957023953355286E-2</v>
      </c>
      <c r="K511" s="131" t="s">
        <v>312</v>
      </c>
    </row>
    <row r="512" spans="1:11">
      <c r="A512" s="120" t="s">
        <v>418</v>
      </c>
      <c r="B512" s="120" t="s">
        <v>419</v>
      </c>
      <c r="C512" s="120" t="s">
        <v>116</v>
      </c>
      <c r="D512" s="120" t="s">
        <v>322</v>
      </c>
      <c r="E512" s="122" t="s">
        <v>130</v>
      </c>
      <c r="F512" s="121">
        <v>2015</v>
      </c>
      <c r="G512" s="120" t="s">
        <v>1613</v>
      </c>
      <c r="H512" s="120" t="s">
        <v>2</v>
      </c>
      <c r="I512" s="120" t="s">
        <v>281</v>
      </c>
      <c r="J512" s="132">
        <v>0.11944082950589156</v>
      </c>
      <c r="K512" s="131" t="s">
        <v>312</v>
      </c>
    </row>
    <row r="513" spans="1:11">
      <c r="A513" s="120" t="s">
        <v>718</v>
      </c>
      <c r="B513" s="120" t="s">
        <v>719</v>
      </c>
      <c r="C513" s="120" t="s">
        <v>115</v>
      </c>
      <c r="D513" s="120" t="s">
        <v>121</v>
      </c>
      <c r="E513" s="122" t="s">
        <v>130</v>
      </c>
      <c r="F513" s="121">
        <v>2015</v>
      </c>
      <c r="G513" s="120" t="s">
        <v>1613</v>
      </c>
      <c r="H513" s="120" t="s">
        <v>2</v>
      </c>
      <c r="I513" s="120" t="s">
        <v>281</v>
      </c>
      <c r="J513" s="132">
        <v>0.21374367059588725</v>
      </c>
      <c r="K513" s="131" t="s">
        <v>312</v>
      </c>
    </row>
    <row r="514" spans="1:11">
      <c r="A514" s="120" t="s">
        <v>608</v>
      </c>
      <c r="B514" s="120" t="s">
        <v>609</v>
      </c>
      <c r="C514" s="120" t="s">
        <v>119</v>
      </c>
      <c r="D514" s="120" t="s">
        <v>319</v>
      </c>
      <c r="E514" s="122" t="s">
        <v>130</v>
      </c>
      <c r="F514" s="121">
        <v>2015</v>
      </c>
      <c r="G514" s="120" t="s">
        <v>1613</v>
      </c>
      <c r="H514" s="120" t="s">
        <v>2</v>
      </c>
      <c r="I514" s="120" t="s">
        <v>281</v>
      </c>
      <c r="J514" s="132">
        <v>2.293375005826025E-2</v>
      </c>
      <c r="K514" s="131" t="s">
        <v>312</v>
      </c>
    </row>
    <row r="515" spans="1:11">
      <c r="A515" s="120" t="s">
        <v>624</v>
      </c>
      <c r="B515" s="120" t="s">
        <v>625</v>
      </c>
      <c r="C515" s="120" t="s">
        <v>116</v>
      </c>
      <c r="D515" s="120" t="s">
        <v>322</v>
      </c>
      <c r="E515" s="122" t="s">
        <v>130</v>
      </c>
      <c r="F515" s="121">
        <v>2015</v>
      </c>
      <c r="G515" s="120" t="s">
        <v>1613</v>
      </c>
      <c r="H515" s="120" t="s">
        <v>2</v>
      </c>
      <c r="I515" s="120" t="s">
        <v>281</v>
      </c>
      <c r="J515" s="132">
        <v>5.6100560560593234E-3</v>
      </c>
      <c r="K515" s="131" t="s">
        <v>312</v>
      </c>
    </row>
    <row r="516" spans="1:11">
      <c r="A516" s="120" t="s">
        <v>628</v>
      </c>
      <c r="B516" s="120" t="s">
        <v>629</v>
      </c>
      <c r="C516" s="120" t="s">
        <v>115</v>
      </c>
      <c r="D516" s="120" t="s">
        <v>121</v>
      </c>
      <c r="E516" s="122" t="s">
        <v>130</v>
      </c>
      <c r="F516" s="121">
        <v>2015</v>
      </c>
      <c r="G516" s="120" t="s">
        <v>1613</v>
      </c>
      <c r="H516" s="120" t="s">
        <v>2</v>
      </c>
      <c r="I516" s="120" t="s">
        <v>281</v>
      </c>
      <c r="J516" s="132">
        <v>0.17215915442982044</v>
      </c>
      <c r="K516" s="131" t="s">
        <v>312</v>
      </c>
    </row>
    <row r="517" spans="1:11">
      <c r="A517" s="120" t="s">
        <v>382</v>
      </c>
      <c r="B517" s="120" t="s">
        <v>383</v>
      </c>
      <c r="C517" s="120" t="s">
        <v>119</v>
      </c>
      <c r="D517" s="120" t="s">
        <v>319</v>
      </c>
      <c r="E517" s="122" t="s">
        <v>130</v>
      </c>
      <c r="F517" s="121">
        <v>2015</v>
      </c>
      <c r="G517" s="120" t="s">
        <v>1613</v>
      </c>
      <c r="H517" s="120" t="s">
        <v>2</v>
      </c>
      <c r="I517" s="120" t="s">
        <v>281</v>
      </c>
      <c r="J517" s="132">
        <v>4.7156753819582543E-2</v>
      </c>
      <c r="K517" s="131" t="s">
        <v>312</v>
      </c>
    </row>
    <row r="518" spans="1:11">
      <c r="A518" s="120" t="s">
        <v>644</v>
      </c>
      <c r="B518" s="120" t="s">
        <v>645</v>
      </c>
      <c r="C518" s="120" t="s">
        <v>119</v>
      </c>
      <c r="D518" s="120" t="s">
        <v>319</v>
      </c>
      <c r="E518" s="122" t="s">
        <v>130</v>
      </c>
      <c r="F518" s="121">
        <v>2015</v>
      </c>
      <c r="G518" s="120" t="s">
        <v>1613</v>
      </c>
      <c r="H518" s="120" t="s">
        <v>2</v>
      </c>
      <c r="I518" s="120" t="s">
        <v>281</v>
      </c>
      <c r="J518" s="132">
        <v>8.0926508972072389E-3</v>
      </c>
      <c r="K518" s="131" t="s">
        <v>312</v>
      </c>
    </row>
    <row r="519" spans="1:11">
      <c r="A519" s="120" t="s">
        <v>640</v>
      </c>
      <c r="B519" s="120" t="s">
        <v>641</v>
      </c>
      <c r="C519" s="120" t="s">
        <v>114</v>
      </c>
      <c r="D519" s="120" t="s">
        <v>322</v>
      </c>
      <c r="E519" s="122" t="s">
        <v>130</v>
      </c>
      <c r="F519" s="121">
        <v>2015</v>
      </c>
      <c r="G519" s="120" t="s">
        <v>1613</v>
      </c>
      <c r="H519" s="120" t="s">
        <v>2</v>
      </c>
      <c r="I519" s="120" t="s">
        <v>281</v>
      </c>
      <c r="J519" s="132">
        <v>6.1474158507646245E-2</v>
      </c>
      <c r="K519" s="131" t="s">
        <v>312</v>
      </c>
    </row>
    <row r="520" spans="1:11">
      <c r="A520" s="120" t="s">
        <v>636</v>
      </c>
      <c r="B520" s="120" t="s">
        <v>637</v>
      </c>
      <c r="C520" s="120" t="s">
        <v>115</v>
      </c>
      <c r="D520" s="120" t="s">
        <v>325</v>
      </c>
      <c r="E520" s="122" t="s">
        <v>130</v>
      </c>
      <c r="F520" s="121">
        <v>2015</v>
      </c>
      <c r="G520" s="120" t="s">
        <v>1613</v>
      </c>
      <c r="H520" s="120" t="s">
        <v>2</v>
      </c>
      <c r="I520" s="120" t="s">
        <v>281</v>
      </c>
      <c r="J520" s="132">
        <v>5.8682010908978351E-2</v>
      </c>
      <c r="K520" s="131" t="s">
        <v>312</v>
      </c>
    </row>
    <row r="521" spans="1:11">
      <c r="A521" s="120" t="s">
        <v>654</v>
      </c>
      <c r="B521" s="120" t="s">
        <v>655</v>
      </c>
      <c r="C521" s="120" t="s">
        <v>115</v>
      </c>
      <c r="D521" s="120" t="s">
        <v>322</v>
      </c>
      <c r="E521" s="122" t="s">
        <v>130</v>
      </c>
      <c r="F521" s="121">
        <v>2015</v>
      </c>
      <c r="G521" s="120" t="s">
        <v>1613</v>
      </c>
      <c r="H521" s="120" t="s">
        <v>2</v>
      </c>
      <c r="I521" s="120" t="s">
        <v>281</v>
      </c>
      <c r="J521" s="132">
        <v>7.4231748456093954E-2</v>
      </c>
      <c r="K521" s="131" t="s">
        <v>312</v>
      </c>
    </row>
    <row r="522" spans="1:11">
      <c r="A522" s="120" t="s">
        <v>648</v>
      </c>
      <c r="B522" s="120" t="s">
        <v>649</v>
      </c>
      <c r="C522" s="120" t="s">
        <v>116</v>
      </c>
      <c r="D522" s="120" t="s">
        <v>121</v>
      </c>
      <c r="E522" s="122" t="s">
        <v>130</v>
      </c>
      <c r="F522" s="121">
        <v>2015</v>
      </c>
      <c r="G522" s="120" t="s">
        <v>1613</v>
      </c>
      <c r="H522" s="120" t="s">
        <v>2</v>
      </c>
      <c r="I522" s="120" t="s">
        <v>281</v>
      </c>
      <c r="J522" s="132">
        <v>9.9772574132758501E-2</v>
      </c>
      <c r="K522" s="131" t="s">
        <v>312</v>
      </c>
    </row>
    <row r="523" spans="1:11">
      <c r="A523" s="120" t="s">
        <v>650</v>
      </c>
      <c r="B523" s="120" t="s">
        <v>651</v>
      </c>
      <c r="C523" s="120" t="s">
        <v>117</v>
      </c>
      <c r="D523" s="120" t="s">
        <v>325</v>
      </c>
      <c r="E523" s="122" t="s">
        <v>130</v>
      </c>
      <c r="F523" s="121">
        <v>2015</v>
      </c>
      <c r="G523" s="120" t="s">
        <v>1613</v>
      </c>
      <c r="H523" s="120" t="s">
        <v>2</v>
      </c>
      <c r="I523" s="120" t="s">
        <v>281</v>
      </c>
      <c r="J523" s="132">
        <v>5.1512967421408103E-2</v>
      </c>
      <c r="K523" s="131" t="s">
        <v>312</v>
      </c>
    </row>
    <row r="524" spans="1:11">
      <c r="A524" s="120" t="s">
        <v>656</v>
      </c>
      <c r="B524" s="120" t="s">
        <v>657</v>
      </c>
      <c r="C524" s="120" t="s">
        <v>119</v>
      </c>
      <c r="D524" s="120" t="s">
        <v>319</v>
      </c>
      <c r="E524" s="122" t="s">
        <v>130</v>
      </c>
      <c r="F524" s="121">
        <v>2015</v>
      </c>
      <c r="G524" s="120" t="s">
        <v>1613</v>
      </c>
      <c r="H524" s="120" t="s">
        <v>2</v>
      </c>
      <c r="I524" s="120" t="s">
        <v>281</v>
      </c>
      <c r="J524" s="132">
        <v>9.1040855868110703E-6</v>
      </c>
      <c r="K524" s="131" t="s">
        <v>312</v>
      </c>
    </row>
    <row r="525" spans="1:11">
      <c r="A525" s="120" t="s">
        <v>658</v>
      </c>
      <c r="B525" s="120" t="s">
        <v>659</v>
      </c>
      <c r="C525" s="120" t="s">
        <v>115</v>
      </c>
      <c r="D525" s="120" t="s">
        <v>325</v>
      </c>
      <c r="E525" s="122" t="s">
        <v>130</v>
      </c>
      <c r="F525" s="121">
        <v>2015</v>
      </c>
      <c r="G525" s="120" t="s">
        <v>1613</v>
      </c>
      <c r="H525" s="120" t="s">
        <v>2</v>
      </c>
      <c r="I525" s="120" t="s">
        <v>281</v>
      </c>
      <c r="J525" s="132">
        <v>6.9198910352559317E-2</v>
      </c>
      <c r="K525" s="131" t="s">
        <v>312</v>
      </c>
    </row>
    <row r="526" spans="1:11">
      <c r="A526" s="120" t="s">
        <v>666</v>
      </c>
      <c r="B526" s="120" t="s">
        <v>667</v>
      </c>
      <c r="C526" s="120" t="s">
        <v>116</v>
      </c>
      <c r="D526" s="120" t="s">
        <v>121</v>
      </c>
      <c r="E526" s="122" t="s">
        <v>130</v>
      </c>
      <c r="F526" s="121">
        <v>2015</v>
      </c>
      <c r="G526" s="120" t="s">
        <v>1613</v>
      </c>
      <c r="H526" s="120" t="s">
        <v>2</v>
      </c>
      <c r="I526" s="120" t="s">
        <v>281</v>
      </c>
      <c r="J526" s="132">
        <v>6.1531743060915553E-4</v>
      </c>
      <c r="K526" s="131" t="s">
        <v>312</v>
      </c>
    </row>
    <row r="527" spans="1:11">
      <c r="A527" s="120" t="s">
        <v>668</v>
      </c>
      <c r="B527" s="120" t="s">
        <v>669</v>
      </c>
      <c r="C527" s="120" t="s">
        <v>115</v>
      </c>
      <c r="D527" s="120" t="s">
        <v>325</v>
      </c>
      <c r="E527" s="122" t="s">
        <v>130</v>
      </c>
      <c r="F527" s="121">
        <v>2015</v>
      </c>
      <c r="G527" s="120" t="s">
        <v>1613</v>
      </c>
      <c r="H527" s="120" t="s">
        <v>2</v>
      </c>
      <c r="I527" s="120" t="s">
        <v>281</v>
      </c>
      <c r="J527" s="132">
        <v>7.4262982900909338E-2</v>
      </c>
      <c r="K527" s="131" t="s">
        <v>312</v>
      </c>
    </row>
    <row r="528" spans="1:11">
      <c r="A528" s="120" t="s">
        <v>674</v>
      </c>
      <c r="B528" s="120" t="s">
        <v>675</v>
      </c>
      <c r="C528" s="120" t="s">
        <v>114</v>
      </c>
      <c r="D528" s="120" t="s">
        <v>325</v>
      </c>
      <c r="E528" s="122" t="s">
        <v>130</v>
      </c>
      <c r="F528" s="121">
        <v>2015</v>
      </c>
      <c r="G528" s="120" t="s">
        <v>1613</v>
      </c>
      <c r="H528" s="120" t="s">
        <v>2</v>
      </c>
      <c r="I528" s="120" t="s">
        <v>281</v>
      </c>
      <c r="J528" s="132">
        <v>5.636134305601577E-2</v>
      </c>
      <c r="K528" s="131" t="s">
        <v>312</v>
      </c>
    </row>
    <row r="529" spans="1:12">
      <c r="A529" s="120" t="s">
        <v>610</v>
      </c>
      <c r="B529" s="120" t="s">
        <v>611</v>
      </c>
      <c r="C529" s="120" t="s">
        <v>119</v>
      </c>
      <c r="D529" s="120" t="s">
        <v>322</v>
      </c>
      <c r="E529" s="122" t="s">
        <v>130</v>
      </c>
      <c r="F529" s="121">
        <v>2015</v>
      </c>
      <c r="G529" s="120" t="s">
        <v>1613</v>
      </c>
      <c r="H529" s="120" t="s">
        <v>2</v>
      </c>
      <c r="I529" s="120" t="s">
        <v>281</v>
      </c>
      <c r="J529" s="132">
        <v>5.9623547717126552E-2</v>
      </c>
      <c r="K529" s="131" t="s">
        <v>312</v>
      </c>
    </row>
    <row r="530" spans="1:12">
      <c r="A530" s="120" t="s">
        <v>680</v>
      </c>
      <c r="B530" s="120" t="s">
        <v>681</v>
      </c>
      <c r="C530" s="120" t="s">
        <v>119</v>
      </c>
      <c r="D530" s="120" t="s">
        <v>325</v>
      </c>
      <c r="E530" s="122" t="s">
        <v>130</v>
      </c>
      <c r="F530" s="121">
        <v>2015</v>
      </c>
      <c r="G530" s="120" t="s">
        <v>1613</v>
      </c>
      <c r="H530" s="120" t="s">
        <v>2</v>
      </c>
      <c r="I530" s="120" t="s">
        <v>281</v>
      </c>
      <c r="J530" s="132">
        <v>4.1692128742835746E-2</v>
      </c>
      <c r="K530" s="131" t="s">
        <v>312</v>
      </c>
    </row>
    <row r="531" spans="1:12">
      <c r="A531" s="120" t="s">
        <v>682</v>
      </c>
      <c r="B531" s="120" t="s">
        <v>683</v>
      </c>
      <c r="C531" s="120" t="s">
        <v>119</v>
      </c>
      <c r="D531" s="120" t="s">
        <v>325</v>
      </c>
      <c r="E531" s="122" t="s">
        <v>130</v>
      </c>
      <c r="F531" s="121">
        <v>2015</v>
      </c>
      <c r="G531" s="120" t="s">
        <v>1613</v>
      </c>
      <c r="H531" s="120" t="s">
        <v>2</v>
      </c>
      <c r="I531" s="120" t="s">
        <v>281</v>
      </c>
      <c r="J531" s="132">
        <v>6.3260114872286805E-2</v>
      </c>
      <c r="K531" s="131" t="s">
        <v>312</v>
      </c>
    </row>
    <row r="532" spans="1:12">
      <c r="A532" s="120" t="s">
        <v>314</v>
      </c>
      <c r="B532" s="120" t="s">
        <v>315</v>
      </c>
      <c r="C532" s="120" t="s">
        <v>1566</v>
      </c>
      <c r="D532" s="120" t="s">
        <v>314</v>
      </c>
      <c r="E532" s="122" t="s">
        <v>130</v>
      </c>
      <c r="F532" s="121">
        <v>2015</v>
      </c>
      <c r="G532" s="120" t="s">
        <v>1613</v>
      </c>
      <c r="H532" s="120" t="s">
        <v>2</v>
      </c>
      <c r="I532" s="120" t="s">
        <v>281</v>
      </c>
      <c r="J532" s="132">
        <v>0.12938555317439226</v>
      </c>
      <c r="K532" s="131" t="s">
        <v>312</v>
      </c>
    </row>
    <row r="533" spans="1:12" s="1" customFormat="1">
      <c r="A533" s="122" t="s">
        <v>114</v>
      </c>
      <c r="B533" s="122" t="s">
        <v>1614</v>
      </c>
      <c r="C533" s="122" t="s">
        <v>114</v>
      </c>
      <c r="D533" s="122" t="s">
        <v>1615</v>
      </c>
      <c r="E533" s="122" t="s">
        <v>130</v>
      </c>
      <c r="F533" s="121">
        <v>2015</v>
      </c>
      <c r="G533" s="122" t="s">
        <v>1613</v>
      </c>
      <c r="H533" s="122" t="s">
        <v>2</v>
      </c>
      <c r="I533" s="122" t="s">
        <v>281</v>
      </c>
      <c r="J533" s="132">
        <v>6.2716345551792299E-2</v>
      </c>
      <c r="K533" s="131" t="s">
        <v>312</v>
      </c>
      <c r="L533" s="11"/>
    </row>
    <row r="534" spans="1:12" s="1" customFormat="1">
      <c r="A534" s="122" t="s">
        <v>115</v>
      </c>
      <c r="B534" s="122" t="s">
        <v>1616</v>
      </c>
      <c r="C534" s="122" t="s">
        <v>115</v>
      </c>
      <c r="D534" s="122" t="s">
        <v>1615</v>
      </c>
      <c r="E534" s="122" t="s">
        <v>130</v>
      </c>
      <c r="F534" s="121">
        <v>2015</v>
      </c>
      <c r="G534" s="122" t="s">
        <v>1613</v>
      </c>
      <c r="H534" s="122" t="s">
        <v>2</v>
      </c>
      <c r="I534" s="122" t="s">
        <v>281</v>
      </c>
      <c r="J534" s="132">
        <v>0.11160652479763715</v>
      </c>
      <c r="K534" s="131" t="s">
        <v>312</v>
      </c>
      <c r="L534" s="11"/>
    </row>
    <row r="535" spans="1:12" s="1" customFormat="1">
      <c r="A535" s="122" t="s">
        <v>116</v>
      </c>
      <c r="B535" s="122" t="s">
        <v>1617</v>
      </c>
      <c r="C535" s="122" t="s">
        <v>116</v>
      </c>
      <c r="D535" s="122" t="s">
        <v>1615</v>
      </c>
      <c r="E535" s="122" t="s">
        <v>130</v>
      </c>
      <c r="F535" s="121">
        <v>2015</v>
      </c>
      <c r="G535" s="122" t="s">
        <v>1613</v>
      </c>
      <c r="H535" s="122" t="s">
        <v>2</v>
      </c>
      <c r="I535" s="122" t="s">
        <v>281</v>
      </c>
      <c r="J535" s="132">
        <v>7.4982253402508095E-2</v>
      </c>
      <c r="K535" s="131" t="s">
        <v>312</v>
      </c>
      <c r="L535" s="11"/>
    </row>
    <row r="536" spans="1:12" s="1" customFormat="1">
      <c r="A536" s="122" t="s">
        <v>117</v>
      </c>
      <c r="B536" s="122" t="s">
        <v>1618</v>
      </c>
      <c r="C536" s="122" t="s">
        <v>117</v>
      </c>
      <c r="D536" s="122" t="s">
        <v>1615</v>
      </c>
      <c r="E536" s="122" t="s">
        <v>130</v>
      </c>
      <c r="F536" s="121">
        <v>2015</v>
      </c>
      <c r="G536" s="122" t="s">
        <v>1613</v>
      </c>
      <c r="H536" s="122" t="s">
        <v>2</v>
      </c>
      <c r="I536" s="122" t="s">
        <v>281</v>
      </c>
      <c r="J536" s="132">
        <v>8.1853223121121838E-2</v>
      </c>
      <c r="K536" s="131" t="s">
        <v>312</v>
      </c>
      <c r="L536" s="11"/>
    </row>
    <row r="537" spans="1:12" s="1" customFormat="1">
      <c r="A537" s="122" t="s">
        <v>120</v>
      </c>
      <c r="B537" s="122" t="s">
        <v>1619</v>
      </c>
      <c r="C537" s="122" t="s">
        <v>120</v>
      </c>
      <c r="D537" s="122" t="s">
        <v>1615</v>
      </c>
      <c r="E537" s="122" t="s">
        <v>130</v>
      </c>
      <c r="F537" s="121">
        <v>2015</v>
      </c>
      <c r="G537" s="122" t="s">
        <v>1613</v>
      </c>
      <c r="H537" s="122" t="s">
        <v>2</v>
      </c>
      <c r="I537" s="122" t="s">
        <v>281</v>
      </c>
      <c r="J537" s="132">
        <v>0.1171305897135712</v>
      </c>
      <c r="K537" s="131" t="s">
        <v>312</v>
      </c>
      <c r="L537" s="11"/>
    </row>
    <row r="538" spans="1:12" s="1" customFormat="1">
      <c r="A538" s="122" t="s">
        <v>118</v>
      </c>
      <c r="B538" s="122" t="s">
        <v>1620</v>
      </c>
      <c r="C538" s="122" t="s">
        <v>118</v>
      </c>
      <c r="D538" s="122" t="s">
        <v>1615</v>
      </c>
      <c r="E538" s="122" t="s">
        <v>130</v>
      </c>
      <c r="F538" s="121">
        <v>2015</v>
      </c>
      <c r="G538" s="122" t="s">
        <v>1613</v>
      </c>
      <c r="H538" s="122" t="s">
        <v>2</v>
      </c>
      <c r="I538" s="122" t="s">
        <v>281</v>
      </c>
      <c r="J538" s="132">
        <v>5.2804021915829023E-2</v>
      </c>
      <c r="K538" s="131" t="s">
        <v>312</v>
      </c>
      <c r="L538" s="11"/>
    </row>
    <row r="539" spans="1:12" s="1" customFormat="1">
      <c r="A539" s="122" t="s">
        <v>119</v>
      </c>
      <c r="B539" s="122" t="s">
        <v>1621</v>
      </c>
      <c r="C539" s="122" t="s">
        <v>119</v>
      </c>
      <c r="D539" s="122" t="s">
        <v>1615</v>
      </c>
      <c r="E539" s="122" t="s">
        <v>130</v>
      </c>
      <c r="F539" s="121">
        <v>2015</v>
      </c>
      <c r="G539" s="122" t="s">
        <v>1613</v>
      </c>
      <c r="H539" s="122" t="s">
        <v>2</v>
      </c>
      <c r="I539" s="122" t="s">
        <v>281</v>
      </c>
      <c r="J539" s="132">
        <v>3.4049615556688145E-2</v>
      </c>
      <c r="K539" s="131" t="s">
        <v>312</v>
      </c>
      <c r="L539" s="11"/>
    </row>
    <row r="540" spans="1:12" s="1" customFormat="1">
      <c r="A540" s="122" t="s">
        <v>114</v>
      </c>
      <c r="B540" s="122" t="s">
        <v>1614</v>
      </c>
      <c r="C540" s="122" t="s">
        <v>114</v>
      </c>
      <c r="D540" s="122" t="s">
        <v>1615</v>
      </c>
      <c r="E540" s="122" t="s">
        <v>1609</v>
      </c>
      <c r="F540" s="126">
        <v>2016</v>
      </c>
      <c r="G540" s="122" t="s">
        <v>1593</v>
      </c>
      <c r="H540" s="120" t="s">
        <v>1612</v>
      </c>
      <c r="I540" s="122"/>
      <c r="J540" s="133">
        <v>2979.178953052497</v>
      </c>
      <c r="K540" s="131" t="s">
        <v>71</v>
      </c>
    </row>
    <row r="541" spans="1:12">
      <c r="A541" s="122" t="s">
        <v>115</v>
      </c>
      <c r="B541" s="122" t="s">
        <v>1616</v>
      </c>
      <c r="C541" s="122" t="s">
        <v>115</v>
      </c>
      <c r="D541" s="122" t="s">
        <v>1615</v>
      </c>
      <c r="E541" s="122" t="s">
        <v>1609</v>
      </c>
      <c r="F541" s="126">
        <v>2016</v>
      </c>
      <c r="G541" s="122" t="s">
        <v>1593</v>
      </c>
      <c r="H541" s="120" t="s">
        <v>1612</v>
      </c>
      <c r="I541" s="99"/>
      <c r="J541" s="133">
        <v>1756.4838804173946</v>
      </c>
      <c r="K541" s="131" t="s">
        <v>71</v>
      </c>
    </row>
    <row r="542" spans="1:12">
      <c r="A542" s="122" t="s">
        <v>116</v>
      </c>
      <c r="B542" s="122" t="s">
        <v>1617</v>
      </c>
      <c r="C542" s="122" t="s">
        <v>116</v>
      </c>
      <c r="D542" s="122" t="s">
        <v>1615</v>
      </c>
      <c r="E542" s="122" t="s">
        <v>1609</v>
      </c>
      <c r="F542" s="126">
        <v>2016</v>
      </c>
      <c r="G542" s="122" t="s">
        <v>1593</v>
      </c>
      <c r="H542" s="120" t="s">
        <v>1612</v>
      </c>
      <c r="I542" s="99"/>
      <c r="J542" s="133">
        <v>2675.1812246558006</v>
      </c>
      <c r="K542" s="131" t="s">
        <v>71</v>
      </c>
    </row>
    <row r="543" spans="1:12">
      <c r="A543" s="122" t="s">
        <v>117</v>
      </c>
      <c r="B543" s="122" t="s">
        <v>1618</v>
      </c>
      <c r="C543" s="122" t="s">
        <v>117</v>
      </c>
      <c r="D543" s="122" t="s">
        <v>1615</v>
      </c>
      <c r="E543" s="122" t="s">
        <v>1609</v>
      </c>
      <c r="F543" s="126">
        <v>2016</v>
      </c>
      <c r="G543" s="122" t="s">
        <v>1593</v>
      </c>
      <c r="H543" s="120" t="s">
        <v>1612</v>
      </c>
      <c r="I543" s="99"/>
      <c r="J543" s="133">
        <v>430.6795250388721</v>
      </c>
      <c r="K543" s="131" t="s">
        <v>71</v>
      </c>
    </row>
    <row r="544" spans="1:12">
      <c r="A544" s="122" t="s">
        <v>120</v>
      </c>
      <c r="B544" s="122" t="s">
        <v>1619</v>
      </c>
      <c r="C544" s="122" t="s">
        <v>120</v>
      </c>
      <c r="D544" s="122" t="s">
        <v>1615</v>
      </c>
      <c r="E544" s="122" t="s">
        <v>1609</v>
      </c>
      <c r="F544" s="126">
        <v>2016</v>
      </c>
      <c r="G544" s="122" t="s">
        <v>1593</v>
      </c>
      <c r="H544" s="120" t="s">
        <v>1612</v>
      </c>
      <c r="I544" s="99"/>
      <c r="J544" s="133">
        <v>1576.8546966950862</v>
      </c>
      <c r="K544" s="131" t="s">
        <v>71</v>
      </c>
    </row>
    <row r="545" spans="1:11">
      <c r="A545" s="122" t="s">
        <v>118</v>
      </c>
      <c r="B545" s="122" t="s">
        <v>1620</v>
      </c>
      <c r="C545" s="122" t="s">
        <v>118</v>
      </c>
      <c r="D545" s="122" t="s">
        <v>1615</v>
      </c>
      <c r="E545" s="122" t="s">
        <v>1609</v>
      </c>
      <c r="F545" s="126">
        <v>2016</v>
      </c>
      <c r="G545" s="122" t="s">
        <v>1593</v>
      </c>
      <c r="H545" s="120" t="s">
        <v>1612</v>
      </c>
      <c r="I545" s="99"/>
      <c r="J545" s="133">
        <v>3003.0869141667858</v>
      </c>
      <c r="K545" s="131" t="s">
        <v>71</v>
      </c>
    </row>
    <row r="546" spans="1:11">
      <c r="A546" s="122" t="s">
        <v>119</v>
      </c>
      <c r="B546" s="122" t="s">
        <v>1621</v>
      </c>
      <c r="C546" s="122" t="s">
        <v>119</v>
      </c>
      <c r="D546" s="122" t="s">
        <v>1615</v>
      </c>
      <c r="E546" s="122" t="s">
        <v>1609</v>
      </c>
      <c r="F546" s="126">
        <v>2016</v>
      </c>
      <c r="G546" s="122" t="s">
        <v>1593</v>
      </c>
      <c r="H546" s="120" t="s">
        <v>1612</v>
      </c>
      <c r="I546" s="99"/>
      <c r="J546" s="133">
        <v>1397.4791664589907</v>
      </c>
      <c r="K546" s="131" t="s">
        <v>71</v>
      </c>
    </row>
    <row r="547" spans="1:11">
      <c r="A547" s="122" t="s">
        <v>114</v>
      </c>
      <c r="B547" s="122" t="s">
        <v>1614</v>
      </c>
      <c r="C547" s="122" t="s">
        <v>114</v>
      </c>
      <c r="D547" s="122" t="s">
        <v>1615</v>
      </c>
      <c r="E547" s="122" t="s">
        <v>1609</v>
      </c>
      <c r="F547" s="126">
        <v>2016</v>
      </c>
      <c r="G547" s="122" t="s">
        <v>1593</v>
      </c>
      <c r="H547" s="120" t="s">
        <v>1610</v>
      </c>
      <c r="I547" s="122"/>
      <c r="J547" s="133">
        <v>1496.4867780924262</v>
      </c>
      <c r="K547" s="131" t="s">
        <v>71</v>
      </c>
    </row>
    <row r="548" spans="1:11">
      <c r="A548" s="122" t="s">
        <v>115</v>
      </c>
      <c r="B548" s="122" t="s">
        <v>1616</v>
      </c>
      <c r="C548" s="122" t="s">
        <v>115</v>
      </c>
      <c r="D548" s="122" t="s">
        <v>1615</v>
      </c>
      <c r="E548" s="122" t="s">
        <v>1609</v>
      </c>
      <c r="F548" s="126">
        <v>2016</v>
      </c>
      <c r="G548" s="122" t="s">
        <v>1593</v>
      </c>
      <c r="H548" s="120" t="s">
        <v>1610</v>
      </c>
      <c r="I548" s="99"/>
      <c r="J548" s="133">
        <v>1716.3988523525834</v>
      </c>
      <c r="K548" s="131" t="s">
        <v>71</v>
      </c>
    </row>
    <row r="549" spans="1:11">
      <c r="A549" s="122" t="s">
        <v>116</v>
      </c>
      <c r="B549" s="122" t="s">
        <v>1617</v>
      </c>
      <c r="C549" s="122" t="s">
        <v>116</v>
      </c>
      <c r="D549" s="122" t="s">
        <v>1615</v>
      </c>
      <c r="E549" s="122" t="s">
        <v>1609</v>
      </c>
      <c r="F549" s="126">
        <v>2016</v>
      </c>
      <c r="G549" s="122" t="s">
        <v>1593</v>
      </c>
      <c r="H549" s="120" t="s">
        <v>1610</v>
      </c>
      <c r="I549" s="99"/>
      <c r="J549" s="133">
        <v>1395.9027644458235</v>
      </c>
      <c r="K549" s="131" t="s">
        <v>71</v>
      </c>
    </row>
    <row r="550" spans="1:11">
      <c r="A550" s="122" t="s">
        <v>117</v>
      </c>
      <c r="B550" s="122" t="s">
        <v>1618</v>
      </c>
      <c r="C550" s="122" t="s">
        <v>117</v>
      </c>
      <c r="D550" s="122" t="s">
        <v>1615</v>
      </c>
      <c r="E550" s="122" t="s">
        <v>1609</v>
      </c>
      <c r="F550" s="126">
        <v>2016</v>
      </c>
      <c r="G550" s="122" t="s">
        <v>1593</v>
      </c>
      <c r="H550" s="120" t="s">
        <v>1610</v>
      </c>
      <c r="I550" s="99"/>
      <c r="J550" s="133">
        <v>353.29878073319867</v>
      </c>
      <c r="K550" s="131" t="s">
        <v>71</v>
      </c>
    </row>
    <row r="551" spans="1:11">
      <c r="A551" s="122" t="s">
        <v>120</v>
      </c>
      <c r="B551" s="122" t="s">
        <v>1619</v>
      </c>
      <c r="C551" s="122" t="s">
        <v>120</v>
      </c>
      <c r="D551" s="122" t="s">
        <v>1615</v>
      </c>
      <c r="E551" s="122" t="s">
        <v>1609</v>
      </c>
      <c r="F551" s="126">
        <v>2016</v>
      </c>
      <c r="G551" s="122" t="s">
        <v>1593</v>
      </c>
      <c r="H551" s="120" t="s">
        <v>1610</v>
      </c>
      <c r="I551" s="99"/>
      <c r="J551" s="133">
        <v>1561.0081656821419</v>
      </c>
      <c r="K551" s="131" t="s">
        <v>71</v>
      </c>
    </row>
    <row r="552" spans="1:11">
      <c r="A552" s="122" t="s">
        <v>118</v>
      </c>
      <c r="B552" s="122" t="s">
        <v>1620</v>
      </c>
      <c r="C552" s="122" t="s">
        <v>118</v>
      </c>
      <c r="D552" s="122" t="s">
        <v>1615</v>
      </c>
      <c r="E552" s="122" t="s">
        <v>1609</v>
      </c>
      <c r="F552" s="126">
        <v>2016</v>
      </c>
      <c r="G552" s="122" t="s">
        <v>1593</v>
      </c>
      <c r="H552" s="120" t="s">
        <v>1610</v>
      </c>
      <c r="I552" s="99"/>
      <c r="J552" s="133">
        <v>854.6600030518274</v>
      </c>
      <c r="K552" s="131" t="s">
        <v>71</v>
      </c>
    </row>
    <row r="553" spans="1:11">
      <c r="A553" s="122" t="s">
        <v>119</v>
      </c>
      <c r="B553" s="122" t="s">
        <v>1621</v>
      </c>
      <c r="C553" s="122" t="s">
        <v>119</v>
      </c>
      <c r="D553" s="122" t="s">
        <v>1615</v>
      </c>
      <c r="E553" s="122" t="s">
        <v>1609</v>
      </c>
      <c r="F553" s="126">
        <v>2016</v>
      </c>
      <c r="G553" s="122" t="s">
        <v>1593</v>
      </c>
      <c r="H553" s="120" t="s">
        <v>1610</v>
      </c>
      <c r="I553" s="99"/>
      <c r="J553" s="133">
        <v>1090.1815902019014</v>
      </c>
      <c r="K553" s="131" t="s">
        <v>71</v>
      </c>
    </row>
    <row r="554" spans="1:11">
      <c r="A554" s="122" t="s">
        <v>114</v>
      </c>
      <c r="B554" s="122" t="s">
        <v>1614</v>
      </c>
      <c r="C554" s="122" t="s">
        <v>114</v>
      </c>
      <c r="D554" s="122" t="s">
        <v>1615</v>
      </c>
      <c r="E554" s="122" t="s">
        <v>1609</v>
      </c>
      <c r="F554" s="126">
        <v>2016</v>
      </c>
      <c r="G554" s="122" t="s">
        <v>1593</v>
      </c>
      <c r="H554" s="120" t="s">
        <v>1611</v>
      </c>
      <c r="I554" s="122"/>
      <c r="J554" s="133">
        <v>2973.967999501634</v>
      </c>
      <c r="K554" s="131" t="s">
        <v>71</v>
      </c>
    </row>
    <row r="555" spans="1:11">
      <c r="A555" s="122" t="s">
        <v>115</v>
      </c>
      <c r="B555" s="122" t="s">
        <v>1616</v>
      </c>
      <c r="C555" s="122" t="s">
        <v>115</v>
      </c>
      <c r="D555" s="122" t="s">
        <v>1615</v>
      </c>
      <c r="E555" s="122" t="s">
        <v>1609</v>
      </c>
      <c r="F555" s="126">
        <v>2016</v>
      </c>
      <c r="G555" s="122" t="s">
        <v>1593</v>
      </c>
      <c r="H555" s="120" t="s">
        <v>1611</v>
      </c>
      <c r="I555" s="99"/>
      <c r="J555" s="133">
        <v>1755.2822108787416</v>
      </c>
      <c r="K555" s="131" t="s">
        <v>71</v>
      </c>
    </row>
    <row r="556" spans="1:11">
      <c r="A556" s="122" t="s">
        <v>116</v>
      </c>
      <c r="B556" s="122" t="s">
        <v>1617</v>
      </c>
      <c r="C556" s="122" t="s">
        <v>116</v>
      </c>
      <c r="D556" s="122" t="s">
        <v>1615</v>
      </c>
      <c r="E556" s="122" t="s">
        <v>1609</v>
      </c>
      <c r="F556" s="126">
        <v>2016</v>
      </c>
      <c r="G556" s="122" t="s">
        <v>1593</v>
      </c>
      <c r="H556" s="120" t="s">
        <v>1611</v>
      </c>
      <c r="I556" s="99"/>
      <c r="J556" s="133">
        <v>2671.5967183145417</v>
      </c>
      <c r="K556" s="131" t="s">
        <v>71</v>
      </c>
    </row>
    <row r="557" spans="1:11">
      <c r="A557" s="122" t="s">
        <v>117</v>
      </c>
      <c r="B557" s="122" t="s">
        <v>1618</v>
      </c>
      <c r="C557" s="122" t="s">
        <v>117</v>
      </c>
      <c r="D557" s="122" t="s">
        <v>1615</v>
      </c>
      <c r="E557" s="122" t="s">
        <v>1609</v>
      </c>
      <c r="F557" s="126">
        <v>2016</v>
      </c>
      <c r="G557" s="122" t="s">
        <v>1593</v>
      </c>
      <c r="H557" s="120" t="s">
        <v>1611</v>
      </c>
      <c r="I557" s="99"/>
      <c r="J557" s="133">
        <v>430.37225637383091</v>
      </c>
      <c r="K557" s="131" t="s">
        <v>71</v>
      </c>
    </row>
    <row r="558" spans="1:11">
      <c r="A558" s="122" t="s">
        <v>120</v>
      </c>
      <c r="B558" s="122" t="s">
        <v>1619</v>
      </c>
      <c r="C558" s="122" t="s">
        <v>120</v>
      </c>
      <c r="D558" s="122" t="s">
        <v>1615</v>
      </c>
      <c r="E558" s="122" t="s">
        <v>1609</v>
      </c>
      <c r="F558" s="126">
        <v>2016</v>
      </c>
      <c r="G558" s="122" t="s">
        <v>1593</v>
      </c>
      <c r="H558" s="120" t="s">
        <v>1611</v>
      </c>
      <c r="I558" s="99"/>
      <c r="J558" s="133">
        <v>1569.3910576500573</v>
      </c>
      <c r="K558" s="131" t="s">
        <v>71</v>
      </c>
    </row>
    <row r="559" spans="1:11">
      <c r="A559" s="122" t="s">
        <v>118</v>
      </c>
      <c r="B559" s="122" t="s">
        <v>1620</v>
      </c>
      <c r="C559" s="122" t="s">
        <v>118</v>
      </c>
      <c r="D559" s="122" t="s">
        <v>1615</v>
      </c>
      <c r="E559" s="122" t="s">
        <v>1609</v>
      </c>
      <c r="F559" s="126">
        <v>2016</v>
      </c>
      <c r="G559" s="122" t="s">
        <v>1593</v>
      </c>
      <c r="H559" s="120" t="s">
        <v>1611</v>
      </c>
      <c r="I559" s="99"/>
      <c r="J559" s="133">
        <v>3003.0869141667858</v>
      </c>
      <c r="K559" s="131" t="s">
        <v>71</v>
      </c>
    </row>
    <row r="560" spans="1:11">
      <c r="A560" s="122" t="s">
        <v>119</v>
      </c>
      <c r="B560" s="122" t="s">
        <v>1621</v>
      </c>
      <c r="C560" s="122" t="s">
        <v>119</v>
      </c>
      <c r="D560" s="122" t="s">
        <v>1615</v>
      </c>
      <c r="E560" s="122" t="s">
        <v>1609</v>
      </c>
      <c r="F560" s="126">
        <v>2016</v>
      </c>
      <c r="G560" s="122" t="s">
        <v>1593</v>
      </c>
      <c r="H560" s="120" t="s">
        <v>1611</v>
      </c>
      <c r="I560" s="99"/>
      <c r="J560" s="133">
        <v>1394.0830695317027</v>
      </c>
      <c r="K560" s="131" t="s">
        <v>71</v>
      </c>
    </row>
    <row r="561" spans="1:13">
      <c r="A561" s="120" t="s">
        <v>314</v>
      </c>
      <c r="B561" s="120" t="s">
        <v>315</v>
      </c>
      <c r="C561" s="120" t="s">
        <v>1566</v>
      </c>
      <c r="D561" s="120" t="s">
        <v>314</v>
      </c>
      <c r="E561" s="120" t="s">
        <v>316</v>
      </c>
      <c r="F561" s="121">
        <v>2023</v>
      </c>
      <c r="G561" s="122" t="s">
        <v>260</v>
      </c>
      <c r="H561" s="122" t="s">
        <v>1568</v>
      </c>
      <c r="I561" s="122" t="s">
        <v>24</v>
      </c>
      <c r="J561" s="123">
        <v>3.7677033106037552</v>
      </c>
      <c r="K561" s="124" t="s">
        <v>300</v>
      </c>
    </row>
    <row r="562" spans="1:13">
      <c r="A562" s="120" t="s">
        <v>314</v>
      </c>
      <c r="B562" s="120" t="s">
        <v>315</v>
      </c>
      <c r="C562" s="120" t="s">
        <v>1566</v>
      </c>
      <c r="D562" s="120" t="s">
        <v>314</v>
      </c>
      <c r="E562" s="120" t="s">
        <v>316</v>
      </c>
      <c r="F562" s="121">
        <v>2023</v>
      </c>
      <c r="G562" s="122" t="s">
        <v>261</v>
      </c>
      <c r="H562" s="122" t="s">
        <v>1568</v>
      </c>
      <c r="I562" s="122" t="s">
        <v>32</v>
      </c>
      <c r="J562" s="123">
        <v>0.15428142324599864</v>
      </c>
      <c r="K562" s="124" t="s">
        <v>301</v>
      </c>
    </row>
    <row r="563" spans="1:13">
      <c r="A563" s="120" t="s">
        <v>314</v>
      </c>
      <c r="B563" s="120" t="s">
        <v>315</v>
      </c>
      <c r="C563" s="120" t="s">
        <v>1566</v>
      </c>
      <c r="D563" s="120" t="s">
        <v>314</v>
      </c>
      <c r="E563" s="120" t="s">
        <v>316</v>
      </c>
      <c r="F563" s="121">
        <v>2023</v>
      </c>
      <c r="G563" s="122" t="s">
        <v>262</v>
      </c>
      <c r="H563" s="122" t="s">
        <v>1568</v>
      </c>
      <c r="I563" s="122" t="s">
        <v>29</v>
      </c>
      <c r="J563" s="123">
        <v>2.7367020022695285E-2</v>
      </c>
      <c r="K563" s="124" t="s">
        <v>302</v>
      </c>
    </row>
    <row r="564" spans="1:13">
      <c r="A564" s="120" t="s">
        <v>314</v>
      </c>
      <c r="B564" s="120" t="s">
        <v>315</v>
      </c>
      <c r="C564" s="120" t="s">
        <v>1566</v>
      </c>
      <c r="D564" s="120" t="s">
        <v>314</v>
      </c>
      <c r="E564" s="120" t="s">
        <v>316</v>
      </c>
      <c r="F564" s="121">
        <v>2023</v>
      </c>
      <c r="G564" s="122" t="s">
        <v>263</v>
      </c>
      <c r="H564" s="122" t="s">
        <v>1568</v>
      </c>
      <c r="I564" s="122" t="s">
        <v>21</v>
      </c>
      <c r="J564" s="123">
        <v>5.6022791680808356E-3</v>
      </c>
      <c r="K564" s="124" t="s">
        <v>302</v>
      </c>
    </row>
    <row r="565" spans="1:13">
      <c r="A565" s="120" t="s">
        <v>314</v>
      </c>
      <c r="B565" s="120" t="s">
        <v>315</v>
      </c>
      <c r="C565" s="120" t="s">
        <v>1566</v>
      </c>
      <c r="D565" s="120" t="s">
        <v>314</v>
      </c>
      <c r="E565" s="120" t="s">
        <v>316</v>
      </c>
      <c r="F565" s="121">
        <v>2023</v>
      </c>
      <c r="G565" s="122" t="s">
        <v>264</v>
      </c>
      <c r="H565" s="122" t="s">
        <v>1568</v>
      </c>
      <c r="I565" s="122" t="s">
        <v>34</v>
      </c>
      <c r="J565" s="123">
        <v>6.5877951245767877E-3</v>
      </c>
      <c r="K565" s="124" t="s">
        <v>302</v>
      </c>
      <c r="M565" s="134"/>
    </row>
    <row r="566" spans="1:13">
      <c r="A566" s="120" t="s">
        <v>314</v>
      </c>
      <c r="B566" s="120" t="s">
        <v>315</v>
      </c>
      <c r="C566" s="120" t="s">
        <v>1566</v>
      </c>
      <c r="D566" s="120" t="s">
        <v>314</v>
      </c>
      <c r="E566" s="120" t="s">
        <v>316</v>
      </c>
      <c r="F566" s="121">
        <v>2023</v>
      </c>
      <c r="G566" s="122" t="s">
        <v>265</v>
      </c>
      <c r="H566" s="122" t="s">
        <v>1568</v>
      </c>
      <c r="I566" s="122" t="s">
        <v>31</v>
      </c>
      <c r="J566" s="123">
        <v>0.34872103076010619</v>
      </c>
      <c r="K566" s="124" t="s">
        <v>303</v>
      </c>
      <c r="M566" s="134"/>
    </row>
    <row r="567" spans="1:13">
      <c r="A567" s="120" t="s">
        <v>314</v>
      </c>
      <c r="B567" s="120" t="s">
        <v>315</v>
      </c>
      <c r="C567" s="120" t="s">
        <v>1566</v>
      </c>
      <c r="D567" s="120" t="s">
        <v>314</v>
      </c>
      <c r="E567" s="120" t="s">
        <v>316</v>
      </c>
      <c r="F567" s="121">
        <v>2023</v>
      </c>
      <c r="G567" s="122" t="s">
        <v>1622</v>
      </c>
      <c r="H567" s="122" t="s">
        <v>1568</v>
      </c>
      <c r="I567" s="122" t="s">
        <v>23</v>
      </c>
      <c r="J567" s="123">
        <v>1.4100459069865163</v>
      </c>
      <c r="K567" s="124" t="s">
        <v>304</v>
      </c>
      <c r="M567" s="134"/>
    </row>
    <row r="568" spans="1:13">
      <c r="A568" s="120" t="s">
        <v>314</v>
      </c>
      <c r="B568" s="120" t="s">
        <v>315</v>
      </c>
      <c r="C568" s="120" t="s">
        <v>1566</v>
      </c>
      <c r="D568" s="120" t="s">
        <v>314</v>
      </c>
      <c r="E568" s="120" t="s">
        <v>316</v>
      </c>
      <c r="F568" s="121">
        <v>2023</v>
      </c>
      <c r="G568" s="122" t="s">
        <v>1623</v>
      </c>
      <c r="H568" s="122" t="s">
        <v>1568</v>
      </c>
      <c r="I568" s="122" t="s">
        <v>19</v>
      </c>
      <c r="J568" s="123">
        <v>2.3576574036172393</v>
      </c>
      <c r="K568" s="124" t="s">
        <v>305</v>
      </c>
    </row>
    <row r="569" spans="1:13">
      <c r="A569" s="120" t="s">
        <v>314</v>
      </c>
      <c r="B569" s="120" t="s">
        <v>315</v>
      </c>
      <c r="C569" s="120" t="s">
        <v>1566</v>
      </c>
      <c r="D569" s="120" t="s">
        <v>314</v>
      </c>
      <c r="E569" s="120" t="s">
        <v>316</v>
      </c>
      <c r="F569" s="121">
        <v>2023</v>
      </c>
      <c r="G569" s="122" t="s">
        <v>270</v>
      </c>
      <c r="H569" s="122" t="s">
        <v>1568</v>
      </c>
      <c r="I569" s="122" t="s">
        <v>28</v>
      </c>
      <c r="J569" s="123">
        <v>0.1591670529832486</v>
      </c>
      <c r="K569" s="124" t="s">
        <v>302</v>
      </c>
      <c r="M569" s="134"/>
    </row>
    <row r="570" spans="1:13">
      <c r="A570" s="120" t="s">
        <v>314</v>
      </c>
      <c r="B570" s="120" t="s">
        <v>315</v>
      </c>
      <c r="C570" s="120" t="s">
        <v>1566</v>
      </c>
      <c r="D570" s="120" t="s">
        <v>314</v>
      </c>
      <c r="E570" s="120" t="s">
        <v>316</v>
      </c>
      <c r="F570" s="121">
        <v>2023</v>
      </c>
      <c r="G570" s="122" t="s">
        <v>270</v>
      </c>
      <c r="H570" s="122" t="s">
        <v>1568</v>
      </c>
      <c r="I570" s="122" t="s">
        <v>30</v>
      </c>
      <c r="J570" s="123">
        <v>1.0930749421741168E-2</v>
      </c>
      <c r="K570" s="124" t="s">
        <v>302</v>
      </c>
      <c r="M570" s="134"/>
    </row>
    <row r="571" spans="1:13">
      <c r="A571" s="120" t="s">
        <v>314</v>
      </c>
      <c r="B571" s="120" t="s">
        <v>315</v>
      </c>
      <c r="C571" s="120" t="s">
        <v>1566</v>
      </c>
      <c r="D571" s="120" t="s">
        <v>314</v>
      </c>
      <c r="E571" s="120" t="s">
        <v>316</v>
      </c>
      <c r="F571" s="121">
        <v>2023</v>
      </c>
      <c r="G571" s="122" t="s">
        <v>271</v>
      </c>
      <c r="H571" s="122" t="s">
        <v>1568</v>
      </c>
      <c r="I571" s="122" t="s">
        <v>20</v>
      </c>
      <c r="J571" s="123">
        <v>5.3754361702127666E-4</v>
      </c>
      <c r="K571" s="124" t="s">
        <v>306</v>
      </c>
      <c r="M571" s="134"/>
    </row>
    <row r="572" spans="1:13">
      <c r="A572" s="120" t="s">
        <v>314</v>
      </c>
      <c r="B572" s="120" t="s">
        <v>315</v>
      </c>
      <c r="C572" s="120" t="s">
        <v>1566</v>
      </c>
      <c r="D572" s="120" t="s">
        <v>314</v>
      </c>
      <c r="E572" s="120" t="s">
        <v>316</v>
      </c>
      <c r="F572" s="121">
        <v>2023</v>
      </c>
      <c r="G572" s="122" t="s">
        <v>1624</v>
      </c>
      <c r="H572" s="122" t="s">
        <v>1568</v>
      </c>
      <c r="I572" s="122" t="s">
        <v>26</v>
      </c>
      <c r="J572" s="123">
        <v>6.405853717223689E-2</v>
      </c>
      <c r="K572" s="124" t="s">
        <v>307</v>
      </c>
      <c r="M572" s="134"/>
    </row>
    <row r="573" spans="1:13">
      <c r="A573" s="120" t="s">
        <v>314</v>
      </c>
      <c r="B573" s="120" t="s">
        <v>315</v>
      </c>
      <c r="C573" s="120" t="s">
        <v>1566</v>
      </c>
      <c r="D573" s="120" t="s">
        <v>314</v>
      </c>
      <c r="E573" s="120" t="s">
        <v>316</v>
      </c>
      <c r="F573" s="121">
        <v>2023</v>
      </c>
      <c r="G573" s="122" t="s">
        <v>275</v>
      </c>
      <c r="H573" s="122" t="s">
        <v>1568</v>
      </c>
      <c r="I573" s="122" t="s">
        <v>25</v>
      </c>
      <c r="J573" s="123">
        <v>0.18617383283057673</v>
      </c>
      <c r="K573" s="124" t="s">
        <v>308</v>
      </c>
      <c r="M573" s="134"/>
    </row>
    <row r="574" spans="1:13">
      <c r="A574" s="120" t="s">
        <v>314</v>
      </c>
      <c r="B574" s="120" t="s">
        <v>315</v>
      </c>
      <c r="C574" s="120" t="s">
        <v>1566</v>
      </c>
      <c r="D574" s="120" t="s">
        <v>314</v>
      </c>
      <c r="E574" s="120" t="s">
        <v>316</v>
      </c>
      <c r="F574" s="121">
        <v>2023</v>
      </c>
      <c r="G574" s="122" t="s">
        <v>276</v>
      </c>
      <c r="H574" s="122" t="s">
        <v>1568</v>
      </c>
      <c r="I574" s="122" t="s">
        <v>16</v>
      </c>
      <c r="J574" s="123">
        <v>31.565826000000001</v>
      </c>
      <c r="K574" s="124" t="s">
        <v>309</v>
      </c>
      <c r="M574" s="134"/>
    </row>
    <row r="575" spans="1:13">
      <c r="A575" s="120" t="s">
        <v>314</v>
      </c>
      <c r="B575" s="120" t="s">
        <v>315</v>
      </c>
      <c r="C575" s="120" t="s">
        <v>1566</v>
      </c>
      <c r="D575" s="120" t="s">
        <v>314</v>
      </c>
      <c r="E575" s="120" t="s">
        <v>316</v>
      </c>
      <c r="F575" s="121">
        <v>2023</v>
      </c>
      <c r="G575" s="122" t="s">
        <v>277</v>
      </c>
      <c r="H575" s="122" t="s">
        <v>1568</v>
      </c>
      <c r="I575" s="122" t="s">
        <v>27</v>
      </c>
      <c r="J575" s="123">
        <v>37.391534</v>
      </c>
      <c r="K575" s="124" t="s">
        <v>310</v>
      </c>
      <c r="M575" s="134"/>
    </row>
    <row r="576" spans="1:13">
      <c r="A576" s="120" t="s">
        <v>314</v>
      </c>
      <c r="B576" s="120" t="s">
        <v>315</v>
      </c>
      <c r="C576" s="120" t="s">
        <v>1566</v>
      </c>
      <c r="D576" s="120" t="s">
        <v>314</v>
      </c>
      <c r="E576" s="120" t="s">
        <v>316</v>
      </c>
      <c r="F576" s="121">
        <v>2023</v>
      </c>
      <c r="G576" s="122" t="s">
        <v>280</v>
      </c>
      <c r="H576" s="122" t="s">
        <v>1568</v>
      </c>
      <c r="I576" s="122" t="s">
        <v>18</v>
      </c>
      <c r="J576" s="123">
        <v>4.1009487084900854E-2</v>
      </c>
      <c r="K576" s="124" t="s">
        <v>311</v>
      </c>
    </row>
    <row r="577" spans="1:11">
      <c r="A577" s="120" t="s">
        <v>314</v>
      </c>
      <c r="B577" s="120" t="s">
        <v>315</v>
      </c>
      <c r="C577" s="120" t="s">
        <v>1566</v>
      </c>
      <c r="D577" s="120" t="s">
        <v>314</v>
      </c>
      <c r="E577" s="120" t="s">
        <v>316</v>
      </c>
      <c r="F577" s="121">
        <v>2023</v>
      </c>
      <c r="G577" s="122" t="s">
        <v>280</v>
      </c>
      <c r="H577" s="122" t="s">
        <v>1568</v>
      </c>
      <c r="I577" s="122" t="s">
        <v>22</v>
      </c>
      <c r="J577" s="123">
        <v>4.5691330645477946</v>
      </c>
      <c r="K577" s="124" t="s">
        <v>311</v>
      </c>
    </row>
    <row r="578" spans="1:11">
      <c r="A578" s="120" t="s">
        <v>314</v>
      </c>
      <c r="B578" s="120" t="s">
        <v>315</v>
      </c>
      <c r="C578" s="120" t="s">
        <v>1566</v>
      </c>
      <c r="D578" s="120" t="s">
        <v>314</v>
      </c>
      <c r="E578" s="120" t="s">
        <v>316</v>
      </c>
      <c r="F578" s="121">
        <v>2023</v>
      </c>
      <c r="G578" s="122" t="s">
        <v>281</v>
      </c>
      <c r="H578" s="122" t="s">
        <v>1568</v>
      </c>
      <c r="I578" s="122" t="s">
        <v>291</v>
      </c>
      <c r="J578" s="123">
        <v>9.8085790148783894E-2</v>
      </c>
      <c r="K578" s="124" t="s">
        <v>312</v>
      </c>
    </row>
    <row r="579" spans="1:11">
      <c r="A579" s="120" t="s">
        <v>314</v>
      </c>
      <c r="B579" s="120" t="s">
        <v>315</v>
      </c>
      <c r="C579" s="120" t="s">
        <v>1566</v>
      </c>
      <c r="D579" s="120" t="s">
        <v>314</v>
      </c>
      <c r="E579" s="120" t="s">
        <v>130</v>
      </c>
      <c r="F579" s="121">
        <v>2022</v>
      </c>
      <c r="G579" s="122" t="s">
        <v>282</v>
      </c>
      <c r="H579" s="122" t="s">
        <v>1568</v>
      </c>
      <c r="I579" s="122" t="s">
        <v>282</v>
      </c>
      <c r="J579" s="123">
        <v>13759.318931078102</v>
      </c>
      <c r="K579" s="125" t="s">
        <v>1625</v>
      </c>
    </row>
  </sheetData>
  <autoFilter ref="A1:K1" xr:uid="{58901D71-23C2-5340-B09B-C1E04C8DAA37}"/>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2BCB5-DDF7-D245-BEB0-87699CB49E9B}">
  <sheetPr>
    <tabColor theme="8" tint="0.39997558519241921"/>
  </sheetPr>
  <dimension ref="A1:Z11"/>
  <sheetViews>
    <sheetView showGridLines="0" zoomScale="80" zoomScaleNormal="80" workbookViewId="0">
      <selection activeCell="AD20" sqref="AD20"/>
    </sheetView>
  </sheetViews>
  <sheetFormatPr defaultColWidth="11" defaultRowHeight="15.6"/>
  <cols>
    <col min="9" max="9" width="11" customWidth="1"/>
    <col min="26" max="26" width="43" customWidth="1"/>
  </cols>
  <sheetData>
    <row r="1" spans="1:26" s="139" customFormat="1" ht="82.8">
      <c r="A1" s="135" t="s">
        <v>1626</v>
      </c>
      <c r="B1" s="136"/>
      <c r="C1" s="136"/>
      <c r="D1" s="136"/>
      <c r="E1" s="137"/>
      <c r="F1" s="138" t="s">
        <v>1627</v>
      </c>
      <c r="G1" s="141" t="s">
        <v>24</v>
      </c>
      <c r="H1" s="141" t="s">
        <v>32</v>
      </c>
      <c r="I1" s="141" t="s">
        <v>29</v>
      </c>
      <c r="J1" s="141" t="s">
        <v>21</v>
      </c>
      <c r="K1" s="141" t="s">
        <v>34</v>
      </c>
      <c r="L1" s="141" t="s">
        <v>31</v>
      </c>
      <c r="M1" s="141" t="s">
        <v>23</v>
      </c>
      <c r="N1" s="141" t="s">
        <v>19</v>
      </c>
      <c r="O1" s="141" t="s">
        <v>28</v>
      </c>
      <c r="P1" s="141" t="s">
        <v>30</v>
      </c>
      <c r="Q1" s="141" t="s">
        <v>20</v>
      </c>
      <c r="R1" s="141" t="s">
        <v>26</v>
      </c>
      <c r="S1" s="141" t="s">
        <v>25</v>
      </c>
      <c r="T1" s="141" t="s">
        <v>16</v>
      </c>
      <c r="U1" s="141" t="s">
        <v>27</v>
      </c>
      <c r="V1" s="141" t="s">
        <v>18</v>
      </c>
      <c r="W1" s="141" t="s">
        <v>22</v>
      </c>
      <c r="X1" s="141" t="s">
        <v>291</v>
      </c>
      <c r="Y1" s="141" t="s">
        <v>33</v>
      </c>
      <c r="Z1" s="141"/>
    </row>
    <row r="2" spans="1:26" s="139" customFormat="1" ht="41.4">
      <c r="A2" s="140" t="s">
        <v>1628</v>
      </c>
      <c r="B2" s="140" t="s">
        <v>1629</v>
      </c>
      <c r="C2" s="140" t="s">
        <v>1630</v>
      </c>
      <c r="D2" s="140" t="s">
        <v>1631</v>
      </c>
      <c r="E2" s="140" t="s">
        <v>1632</v>
      </c>
      <c r="F2" s="140" t="s">
        <v>1633</v>
      </c>
      <c r="G2" s="142" t="s">
        <v>1634</v>
      </c>
      <c r="H2" s="142" t="s">
        <v>1635</v>
      </c>
      <c r="I2" s="142" t="s">
        <v>1636</v>
      </c>
      <c r="J2" s="142" t="s">
        <v>1636</v>
      </c>
      <c r="K2" s="142" t="s">
        <v>1636</v>
      </c>
      <c r="L2" s="142" t="s">
        <v>1637</v>
      </c>
      <c r="M2" s="142" t="s">
        <v>1638</v>
      </c>
      <c r="N2" s="142" t="s">
        <v>1639</v>
      </c>
      <c r="O2" s="142" t="s">
        <v>1636</v>
      </c>
      <c r="P2" s="142" t="s">
        <v>1636</v>
      </c>
      <c r="Q2" s="142" t="s">
        <v>1640</v>
      </c>
      <c r="R2" s="142" t="s">
        <v>1641</v>
      </c>
      <c r="S2" s="142" t="s">
        <v>1642</v>
      </c>
      <c r="T2" s="142" t="s">
        <v>1643</v>
      </c>
      <c r="U2" s="142" t="s">
        <v>1644</v>
      </c>
      <c r="V2" s="142" t="s">
        <v>1645</v>
      </c>
      <c r="W2" s="142" t="s">
        <v>1645</v>
      </c>
      <c r="X2" s="142" t="s">
        <v>1646</v>
      </c>
      <c r="Y2" s="142" t="s">
        <v>1646</v>
      </c>
      <c r="Z2" s="197" t="s">
        <v>1647</v>
      </c>
    </row>
    <row r="3" spans="1:26">
      <c r="A3" s="198" t="s">
        <v>1648</v>
      </c>
      <c r="B3" s="198" t="s">
        <v>1649</v>
      </c>
      <c r="C3" s="199" t="s">
        <v>1650</v>
      </c>
      <c r="D3" s="200" t="s">
        <v>1651</v>
      </c>
      <c r="E3" s="199" t="s">
        <v>173</v>
      </c>
      <c r="F3" s="201">
        <v>1</v>
      </c>
      <c r="G3" s="202">
        <v>4.2134933669200989E-4</v>
      </c>
      <c r="H3" s="203">
        <v>8.959499008818865E-2</v>
      </c>
      <c r="I3" s="202">
        <v>3.7021875863773979E-2</v>
      </c>
      <c r="J3" s="202">
        <v>4.6585847902376819E-2</v>
      </c>
      <c r="K3" s="204">
        <v>1.67818138316737</v>
      </c>
      <c r="L3" s="202">
        <v>2.6784634591999191E-2</v>
      </c>
      <c r="M3" s="202">
        <v>3.6560370687346089E-5</v>
      </c>
      <c r="N3" s="202">
        <v>1.239612878874411E-5</v>
      </c>
      <c r="O3" s="202">
        <v>2.5559174653707391E-2</v>
      </c>
      <c r="P3" s="202">
        <v>0.39620708151062239</v>
      </c>
      <c r="Q3" s="202">
        <v>0.52991157353251106</v>
      </c>
      <c r="R3" s="202">
        <v>4.5526171297792604E-3</v>
      </c>
      <c r="S3" s="202">
        <v>2.7633214176810222E-3</v>
      </c>
      <c r="T3" s="202">
        <v>9.3234407245367148E-8</v>
      </c>
      <c r="U3" s="202">
        <v>1.578375328869976E-4</v>
      </c>
      <c r="V3" s="202">
        <v>2.188879514456305E-4</v>
      </c>
      <c r="W3" s="202">
        <v>2.289770070975107E-4</v>
      </c>
      <c r="X3" s="203">
        <v>3.3408707798927161E-3</v>
      </c>
      <c r="Y3" s="203">
        <v>4.3076726419172887E-2</v>
      </c>
      <c r="Z3" s="198" t="s">
        <v>72</v>
      </c>
    </row>
    <row r="4" spans="1:26">
      <c r="A4" s="206" t="s">
        <v>1652</v>
      </c>
      <c r="B4" s="206" t="s">
        <v>1653</v>
      </c>
      <c r="C4" s="207" t="s">
        <v>315</v>
      </c>
      <c r="D4" s="208" t="s">
        <v>1654</v>
      </c>
      <c r="E4" s="207" t="s">
        <v>197</v>
      </c>
      <c r="F4" s="209">
        <v>1</v>
      </c>
      <c r="G4" s="210">
        <v>5.4026009067097462E-4</v>
      </c>
      <c r="H4" s="211">
        <v>0.31150021191149918</v>
      </c>
      <c r="I4" s="210">
        <v>2.4383920394866719E-2</v>
      </c>
      <c r="J4" s="210">
        <v>3.6475652369712903E-2</v>
      </c>
      <c r="K4" s="212">
        <v>5.7603601593510989</v>
      </c>
      <c r="L4" s="210">
        <v>8.6770053037491995E-2</v>
      </c>
      <c r="M4" s="210">
        <v>3.6826644574294767E-5</v>
      </c>
      <c r="N4" s="210">
        <v>6.3767467874497201E-6</v>
      </c>
      <c r="O4" s="210">
        <v>8.7611510622010683E-2</v>
      </c>
      <c r="P4" s="210">
        <v>0.25877550513322523</v>
      </c>
      <c r="Q4" s="210">
        <v>5.5126351569975817E-3</v>
      </c>
      <c r="R4" s="210">
        <v>6.4505713766067436E-3</v>
      </c>
      <c r="S4" s="210">
        <v>7.8235769203144467E-3</v>
      </c>
      <c r="T4" s="210">
        <v>1.178945265675121E-7</v>
      </c>
      <c r="U4" s="210">
        <v>2.4435396259597059E-4</v>
      </c>
      <c r="V4" s="210">
        <v>4.5127258553516778E-4</v>
      </c>
      <c r="W4" s="210">
        <v>5.1989464715780588E-4</v>
      </c>
      <c r="X4" s="211">
        <v>6.8845688749918932E-4</v>
      </c>
      <c r="Y4" s="211">
        <v>7.1402358536240204E-3</v>
      </c>
      <c r="Z4" s="206" t="s">
        <v>78</v>
      </c>
    </row>
    <row r="5" spans="1:26">
      <c r="A5" s="206" t="s">
        <v>1655</v>
      </c>
      <c r="B5" s="206" t="s">
        <v>1656</v>
      </c>
      <c r="C5" s="207" t="s">
        <v>1657</v>
      </c>
      <c r="D5" s="208" t="s">
        <v>1658</v>
      </c>
      <c r="E5" s="207" t="s">
        <v>1659</v>
      </c>
      <c r="F5" s="209">
        <v>-1</v>
      </c>
      <c r="G5" s="210">
        <v>1.656220537253398E-4</v>
      </c>
      <c r="H5" s="211">
        <v>0.52065355311488293</v>
      </c>
      <c r="I5" s="210">
        <v>0.28676682683354182</v>
      </c>
      <c r="J5" s="210">
        <v>0.37428544284909843</v>
      </c>
      <c r="K5" s="212">
        <v>1.248143049522473</v>
      </c>
      <c r="L5" s="210">
        <v>7.3925342706349382E-3</v>
      </c>
      <c r="M5" s="210">
        <v>4.5865240474348952E-5</v>
      </c>
      <c r="N5" s="210">
        <v>1.128692562679523E-5</v>
      </c>
      <c r="O5" s="210">
        <v>8.6162683893615782E-2</v>
      </c>
      <c r="P5" s="210">
        <v>5.461960289218184</v>
      </c>
      <c r="Q5" s="210">
        <v>4.1425588641865141E-4</v>
      </c>
      <c r="R5" s="210">
        <v>1.257222777163594E-3</v>
      </c>
      <c r="S5" s="210">
        <v>1.269380754903695E-3</v>
      </c>
      <c r="T5" s="210">
        <v>5.1975192510958624E-7</v>
      </c>
      <c r="U5" s="210">
        <v>6.3682704737241184E-5</v>
      </c>
      <c r="V5" s="210">
        <v>3.3053305304327169E-4</v>
      </c>
      <c r="W5" s="210">
        <v>3.341624472718619E-4</v>
      </c>
      <c r="X5" s="211">
        <v>1.5949174130238421E-3</v>
      </c>
      <c r="Y5" s="211">
        <v>3.5168152536161098E-3</v>
      </c>
      <c r="Z5" s="206" t="s">
        <v>1660</v>
      </c>
    </row>
    <row r="6" spans="1:26">
      <c r="A6" s="206" t="s">
        <v>1661</v>
      </c>
      <c r="B6" s="206" t="s">
        <v>1662</v>
      </c>
      <c r="C6" s="207" t="s">
        <v>1657</v>
      </c>
      <c r="D6" s="208" t="s">
        <v>1658</v>
      </c>
      <c r="E6" s="207" t="s">
        <v>1659</v>
      </c>
      <c r="F6" s="209">
        <v>-1</v>
      </c>
      <c r="G6" s="210">
        <v>1.073935818731429E-4</v>
      </c>
      <c r="H6" s="211">
        <v>0.67945150111403363</v>
      </c>
      <c r="I6" s="210">
        <v>0.48109047526327797</v>
      </c>
      <c r="J6" s="210">
        <v>0.63624209567454615</v>
      </c>
      <c r="K6" s="212">
        <v>0.21251903514527709</v>
      </c>
      <c r="L6" s="210">
        <v>7.1396041437645956E-3</v>
      </c>
      <c r="M6" s="210">
        <v>7.5980934669908095E-5</v>
      </c>
      <c r="N6" s="210">
        <v>9.7092529081638907E-4</v>
      </c>
      <c r="O6" s="210">
        <v>1.3619585619484091E-2</v>
      </c>
      <c r="P6" s="210">
        <v>11.195287007241641</v>
      </c>
      <c r="Q6" s="210">
        <v>6.8177622640954523E-4</v>
      </c>
      <c r="R6" s="210">
        <v>3.020632093426504E-3</v>
      </c>
      <c r="S6" s="210">
        <v>2.5334824888825059E-4</v>
      </c>
      <c r="T6" s="210">
        <v>9.1811562732685089E-8</v>
      </c>
      <c r="U6" s="210">
        <v>4.5245686548664841E-5</v>
      </c>
      <c r="V6" s="210">
        <v>1.0398432697452159E-4</v>
      </c>
      <c r="W6" s="210">
        <v>1.0813176397751929E-4</v>
      </c>
      <c r="X6" s="211">
        <v>7.8892553197517095E-5</v>
      </c>
      <c r="Y6" s="211">
        <v>1.1174095964423E-3</v>
      </c>
      <c r="Z6" s="206" t="s">
        <v>1663</v>
      </c>
    </row>
    <row r="7" spans="1:26">
      <c r="A7" s="206" t="s">
        <v>1847</v>
      </c>
      <c r="B7" s="206" t="s">
        <v>1848</v>
      </c>
      <c r="C7" s="207" t="s">
        <v>315</v>
      </c>
      <c r="D7" s="208" t="s">
        <v>1849</v>
      </c>
      <c r="E7" s="207" t="s">
        <v>1659</v>
      </c>
      <c r="F7" s="209">
        <v>1</v>
      </c>
      <c r="G7" s="210">
        <v>8.0366814564994921E-2</v>
      </c>
      <c r="H7" s="211">
        <v>11.521601477039351</v>
      </c>
      <c r="I7" s="210">
        <v>0.75610568606917161</v>
      </c>
      <c r="J7" s="210">
        <v>0.98352236949441119</v>
      </c>
      <c r="K7" s="212">
        <v>193.26486441213319</v>
      </c>
      <c r="L7" s="210">
        <v>3.573687762509886</v>
      </c>
      <c r="M7" s="210">
        <v>5.4724517591548151E-3</v>
      </c>
      <c r="N7" s="210">
        <v>3.2671563076732998E-3</v>
      </c>
      <c r="O7" s="210">
        <v>1.9628968052313469</v>
      </c>
      <c r="P7" s="210">
        <v>14.44223569778703</v>
      </c>
      <c r="Q7" s="210">
        <v>0.65060603812759132</v>
      </c>
      <c r="R7" s="210">
        <v>0.24179688689522899</v>
      </c>
      <c r="S7" s="210">
        <v>1.0268043718274551</v>
      </c>
      <c r="T7" s="210">
        <v>3.0784829335749017E-5</v>
      </c>
      <c r="U7" s="210">
        <v>2.9435147579829499E-2</v>
      </c>
      <c r="V7" s="210">
        <v>3.0155624771031189E-2</v>
      </c>
      <c r="W7" s="210">
        <v>3.186140217987142E-2</v>
      </c>
      <c r="X7" s="211">
        <v>0.1759524214353432</v>
      </c>
      <c r="Y7" s="211">
        <v>1.587422835396278</v>
      </c>
      <c r="Z7" s="206" t="s">
        <v>1850</v>
      </c>
    </row>
    <row r="8" spans="1:26">
      <c r="A8" s="206" t="s">
        <v>1851</v>
      </c>
      <c r="B8" s="206" t="s">
        <v>1852</v>
      </c>
      <c r="C8" s="207" t="s">
        <v>1657</v>
      </c>
      <c r="D8" s="208" t="s">
        <v>1853</v>
      </c>
      <c r="E8" s="207" t="s">
        <v>1659</v>
      </c>
      <c r="F8" s="209">
        <v>1</v>
      </c>
      <c r="G8" s="210">
        <v>2.4342181384636691E-2</v>
      </c>
      <c r="H8" s="211">
        <v>6.4849980923801294</v>
      </c>
      <c r="I8" s="210">
        <v>0.39990946934434618</v>
      </c>
      <c r="J8" s="210">
        <v>0.56514586115346888</v>
      </c>
      <c r="K8" s="212">
        <v>64.33145529875614</v>
      </c>
      <c r="L8" s="210">
        <v>1.783319114533316</v>
      </c>
      <c r="M8" s="210">
        <v>1.7014841019060141E-3</v>
      </c>
      <c r="N8" s="210">
        <v>6.9713338463485615E-4</v>
      </c>
      <c r="O8" s="210">
        <v>1.030417296169774</v>
      </c>
      <c r="P8" s="210">
        <v>8.6010973826510835</v>
      </c>
      <c r="Q8" s="210">
        <v>0.10373226649233661</v>
      </c>
      <c r="R8" s="210">
        <v>0.16396635545454891</v>
      </c>
      <c r="S8" s="210">
        <v>0.1366313717294626</v>
      </c>
      <c r="T8" s="210">
        <v>3.2502409408318948E-5</v>
      </c>
      <c r="U8" s="210">
        <v>8.5334666595656868E-3</v>
      </c>
      <c r="V8" s="210">
        <v>1.336730159820184E-2</v>
      </c>
      <c r="W8" s="210">
        <v>1.404138336455452E-2</v>
      </c>
      <c r="X8" s="211">
        <v>0.1434554805642452</v>
      </c>
      <c r="Y8" s="211">
        <v>1.2657088836077171</v>
      </c>
      <c r="Z8" s="206" t="s">
        <v>1854</v>
      </c>
    </row>
    <row r="9" spans="1:26">
      <c r="A9" s="206" t="s">
        <v>1855</v>
      </c>
      <c r="B9" s="206" t="s">
        <v>1856</v>
      </c>
      <c r="C9" s="207" t="s">
        <v>1657</v>
      </c>
      <c r="D9" s="208" t="s">
        <v>1857</v>
      </c>
      <c r="E9" s="207" t="s">
        <v>1659</v>
      </c>
      <c r="F9" s="209">
        <v>1</v>
      </c>
      <c r="G9" s="210">
        <v>1.4399556440979171E-2</v>
      </c>
      <c r="H9" s="211">
        <v>3.1558143672139858</v>
      </c>
      <c r="I9" s="210">
        <v>0.24252710637116889</v>
      </c>
      <c r="J9" s="210">
        <v>0.3353877139561281</v>
      </c>
      <c r="K9" s="212">
        <v>31.115363126026349</v>
      </c>
      <c r="L9" s="210">
        <v>0.760318519347984</v>
      </c>
      <c r="M9" s="210">
        <v>1.159105303807699E-3</v>
      </c>
      <c r="N9" s="210">
        <v>2.1155320092136701E-4</v>
      </c>
      <c r="O9" s="210">
        <v>0.58361172672328476</v>
      </c>
      <c r="P9" s="210">
        <v>4.9059919267407501</v>
      </c>
      <c r="Q9" s="210">
        <v>7.0332767932199891E-2</v>
      </c>
      <c r="R9" s="210">
        <v>0.1486308861069163</v>
      </c>
      <c r="S9" s="210">
        <v>0.1184938638072338</v>
      </c>
      <c r="T9" s="210">
        <v>1.460569421744485E-5</v>
      </c>
      <c r="U9" s="210">
        <v>5.7088583008320613E-3</v>
      </c>
      <c r="V9" s="210">
        <v>7.9603056331961908E-3</v>
      </c>
      <c r="W9" s="210">
        <v>8.2527812605865721E-3</v>
      </c>
      <c r="X9" s="211">
        <v>3.8235271929014852E-2</v>
      </c>
      <c r="Y9" s="211">
        <v>0.43949165312002392</v>
      </c>
      <c r="Z9" s="206" t="s">
        <v>1858</v>
      </c>
    </row>
    <row r="10" spans="1:26">
      <c r="A10" s="206" t="s">
        <v>1859</v>
      </c>
      <c r="B10" s="206" t="s">
        <v>1860</v>
      </c>
      <c r="C10" s="207" t="s">
        <v>1657</v>
      </c>
      <c r="D10" s="208" t="s">
        <v>1861</v>
      </c>
      <c r="E10" s="207" t="s">
        <v>1659</v>
      </c>
      <c r="F10" s="209">
        <v>1</v>
      </c>
      <c r="G10" s="210">
        <v>1.404577332484422E-2</v>
      </c>
      <c r="H10" s="211">
        <v>3.7315466870976608</v>
      </c>
      <c r="I10" s="210">
        <v>0.2144519808334058</v>
      </c>
      <c r="J10" s="210">
        <v>0.30472638165865279</v>
      </c>
      <c r="K10" s="212">
        <v>36.278964633564513</v>
      </c>
      <c r="L10" s="210">
        <v>0.84569561686402206</v>
      </c>
      <c r="M10" s="210">
        <v>8.4376692006849364E-4</v>
      </c>
      <c r="N10" s="210">
        <v>3.4329431599690069E-4</v>
      </c>
      <c r="O10" s="210">
        <v>0.70110068537938153</v>
      </c>
      <c r="P10" s="210">
        <v>3.9113384079768778</v>
      </c>
      <c r="Q10" s="210">
        <v>6.5947168285850871E-2</v>
      </c>
      <c r="R10" s="210">
        <v>0.1086893251493351</v>
      </c>
      <c r="S10" s="210">
        <v>8.09879895459443E-2</v>
      </c>
      <c r="T10" s="210">
        <v>2.844806157905629E-5</v>
      </c>
      <c r="U10" s="210">
        <v>4.8282499565800614E-3</v>
      </c>
      <c r="V10" s="210">
        <v>8.3755652151967976E-3</v>
      </c>
      <c r="W10" s="210">
        <v>8.7278068197362193E-3</v>
      </c>
      <c r="X10" s="211">
        <v>3.6537468944062818E-2</v>
      </c>
      <c r="Y10" s="211">
        <v>0.45035195044461068</v>
      </c>
      <c r="Z10" s="206" t="s">
        <v>1862</v>
      </c>
    </row>
    <row r="11" spans="1:26">
      <c r="A11" s="206" t="s">
        <v>1883</v>
      </c>
      <c r="B11" s="206" t="s">
        <v>1884</v>
      </c>
      <c r="C11" s="207" t="s">
        <v>1657</v>
      </c>
      <c r="D11" s="208" t="s">
        <v>1885</v>
      </c>
      <c r="E11" s="207" t="s">
        <v>1646</v>
      </c>
      <c r="F11" s="209">
        <v>1</v>
      </c>
      <c r="G11" s="210">
        <v>0.63287771722890884</v>
      </c>
      <c r="H11" s="211">
        <v>159.7689011172466</v>
      </c>
      <c r="I11" s="210">
        <v>4.2892588240765184</v>
      </c>
      <c r="J11" s="210">
        <v>8.137005966052449</v>
      </c>
      <c r="K11" s="212">
        <v>2725.7353792966401</v>
      </c>
      <c r="L11" s="210">
        <v>43.764470269576513</v>
      </c>
      <c r="M11" s="210">
        <v>3.8116729422181743E-2</v>
      </c>
      <c r="N11" s="210">
        <v>4.4824673733067748E-3</v>
      </c>
      <c r="O11" s="210">
        <v>41.108063810035929</v>
      </c>
      <c r="P11" s="210">
        <v>140.61452251619431</v>
      </c>
      <c r="Q11" s="210">
        <v>6.2871039645611289</v>
      </c>
      <c r="R11" s="210">
        <v>1675.4286233533419</v>
      </c>
      <c r="S11" s="210">
        <v>2.7295437916242178</v>
      </c>
      <c r="T11" s="210">
        <v>9.1934408997997529E-5</v>
      </c>
      <c r="U11" s="210">
        <v>0.46024470308606719</v>
      </c>
      <c r="V11" s="210">
        <v>1.026155261223197</v>
      </c>
      <c r="W11" s="210">
        <v>1.056688446856745</v>
      </c>
      <c r="X11" s="211">
        <v>0.88892385212706115</v>
      </c>
      <c r="Y11" s="211">
        <v>7.4670395075576472</v>
      </c>
      <c r="Z11" s="206" t="s">
        <v>1886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B7D9A-A968-1743-B3A1-62664F4DCEA8}">
  <sheetPr>
    <tabColor theme="8" tint="0.39997558519241921"/>
  </sheetPr>
  <dimension ref="A1:K348"/>
  <sheetViews>
    <sheetView showGridLines="0" zoomScale="82" zoomScaleNormal="82" workbookViewId="0">
      <selection activeCell="AD20" sqref="AD20"/>
    </sheetView>
  </sheetViews>
  <sheetFormatPr defaultColWidth="8.796875" defaultRowHeight="14.4"/>
  <cols>
    <col min="1" max="1" width="20.19921875" style="53" customWidth="1"/>
    <col min="2" max="2" width="38.796875" style="53" bestFit="1" customWidth="1"/>
    <col min="3" max="3" width="14.296875" style="53" customWidth="1"/>
    <col min="4" max="4" width="47.69921875" style="53" bestFit="1" customWidth="1"/>
    <col min="5" max="5" width="28" style="53" bestFit="1" customWidth="1"/>
    <col min="6" max="6" width="69" style="53" bestFit="1" customWidth="1"/>
    <col min="7" max="7" width="30.796875" style="53" bestFit="1" customWidth="1"/>
    <col min="8" max="16384" width="8.796875" style="53"/>
  </cols>
  <sheetData>
    <row r="1" spans="1:6">
      <c r="A1" s="221" t="s">
        <v>1664</v>
      </c>
      <c r="B1" s="221" t="s">
        <v>1665</v>
      </c>
      <c r="C1" s="221" t="s">
        <v>1666</v>
      </c>
      <c r="D1" s="221" t="s">
        <v>1667</v>
      </c>
      <c r="E1" s="221" t="s">
        <v>84</v>
      </c>
      <c r="F1" s="221" t="s">
        <v>1668</v>
      </c>
    </row>
    <row r="2" spans="1:6">
      <c r="A2" s="219" t="s">
        <v>1669</v>
      </c>
      <c r="B2" s="219" t="s">
        <v>1670</v>
      </c>
      <c r="C2" s="220">
        <v>23.655463471453054</v>
      </c>
      <c r="D2" s="219" t="s">
        <v>29</v>
      </c>
      <c r="E2" s="219" t="s">
        <v>1671</v>
      </c>
      <c r="F2" s="219" t="s">
        <v>1672</v>
      </c>
    </row>
    <row r="3" spans="1:6">
      <c r="A3" s="219" t="s">
        <v>1673</v>
      </c>
      <c r="B3" s="219" t="s">
        <v>1674</v>
      </c>
      <c r="C3" s="220">
        <v>16.824171961584828</v>
      </c>
      <c r="D3" s="219" t="s">
        <v>29</v>
      </c>
      <c r="E3" s="219" t="s">
        <v>1671</v>
      </c>
      <c r="F3" s="219" t="s">
        <v>1672</v>
      </c>
    </row>
    <row r="4" spans="1:6">
      <c r="A4" s="219" t="s">
        <v>1675</v>
      </c>
      <c r="B4" s="219" t="s">
        <v>1676</v>
      </c>
      <c r="C4" s="220">
        <v>2.301551550812579</v>
      </c>
      <c r="D4" s="219" t="s">
        <v>29</v>
      </c>
      <c r="E4" s="219" t="s">
        <v>1671</v>
      </c>
      <c r="F4" s="219" t="s">
        <v>1672</v>
      </c>
    </row>
    <row r="5" spans="1:6">
      <c r="A5" s="219" t="s">
        <v>1677</v>
      </c>
      <c r="B5" s="219" t="s">
        <v>1678</v>
      </c>
      <c r="C5" s="220">
        <v>161.83822958058482</v>
      </c>
      <c r="D5" s="219" t="s">
        <v>29</v>
      </c>
      <c r="E5" s="219" t="s">
        <v>1671</v>
      </c>
      <c r="F5" s="219" t="s">
        <v>1672</v>
      </c>
    </row>
    <row r="6" spans="1:6">
      <c r="A6" s="219" t="s">
        <v>1679</v>
      </c>
      <c r="B6" s="219" t="s">
        <v>1680</v>
      </c>
      <c r="C6" s="220">
        <v>49.778358242213613</v>
      </c>
      <c r="D6" s="219" t="s">
        <v>29</v>
      </c>
      <c r="E6" s="219" t="s">
        <v>1671</v>
      </c>
      <c r="F6" s="219" t="s">
        <v>1672</v>
      </c>
    </row>
    <row r="7" spans="1:6">
      <c r="A7" s="219" t="s">
        <v>1681</v>
      </c>
      <c r="B7" s="219" t="s">
        <v>1682</v>
      </c>
      <c r="C7" s="220">
        <v>46.032525528162488</v>
      </c>
      <c r="D7" s="219" t="s">
        <v>29</v>
      </c>
      <c r="E7" s="219" t="s">
        <v>1671</v>
      </c>
      <c r="F7" s="219" t="s">
        <v>1672</v>
      </c>
    </row>
    <row r="8" spans="1:6">
      <c r="A8" s="219" t="s">
        <v>1683</v>
      </c>
      <c r="B8" s="219" t="s">
        <v>1684</v>
      </c>
      <c r="C8" s="220">
        <v>0.60626590570305028</v>
      </c>
      <c r="D8" s="219" t="s">
        <v>29</v>
      </c>
      <c r="E8" s="219" t="s">
        <v>1671</v>
      </c>
      <c r="F8" s="219" t="s">
        <v>1672</v>
      </c>
    </row>
    <row r="9" spans="1:6">
      <c r="A9" s="219" t="s">
        <v>1685</v>
      </c>
      <c r="B9" s="219" t="s">
        <v>1686</v>
      </c>
      <c r="C9" s="220">
        <v>14.836471498283625</v>
      </c>
      <c r="D9" s="219" t="s">
        <v>29</v>
      </c>
      <c r="E9" s="219" t="s">
        <v>1671</v>
      </c>
      <c r="F9" s="219" t="s">
        <v>1672</v>
      </c>
    </row>
    <row r="10" spans="1:6">
      <c r="A10" s="219" t="s">
        <v>1687</v>
      </c>
      <c r="B10" s="219" t="s">
        <v>1688</v>
      </c>
      <c r="C10" s="220">
        <v>210.73555018796125</v>
      </c>
      <c r="D10" s="219" t="s">
        <v>29</v>
      </c>
      <c r="E10" s="219" t="s">
        <v>1671</v>
      </c>
      <c r="F10" s="219" t="s">
        <v>1672</v>
      </c>
    </row>
    <row r="11" spans="1:6">
      <c r="A11" s="219" t="s">
        <v>1689</v>
      </c>
      <c r="B11" s="219" t="s">
        <v>1690</v>
      </c>
      <c r="C11" s="220">
        <v>13</v>
      </c>
      <c r="D11" s="219" t="s">
        <v>29</v>
      </c>
      <c r="E11" s="219" t="s">
        <v>1671</v>
      </c>
      <c r="F11" s="219" t="s">
        <v>1672</v>
      </c>
    </row>
    <row r="12" spans="1:6">
      <c r="A12" s="219" t="s">
        <v>1669</v>
      </c>
      <c r="B12" s="219" t="s">
        <v>1670</v>
      </c>
      <c r="C12" s="220">
        <v>344.7900801867105</v>
      </c>
      <c r="D12" s="219" t="s">
        <v>28</v>
      </c>
      <c r="E12" s="219" t="s">
        <v>1691</v>
      </c>
      <c r="F12" s="219" t="s">
        <v>1672</v>
      </c>
    </row>
    <row r="13" spans="1:6">
      <c r="A13" s="219" t="s">
        <v>1673</v>
      </c>
      <c r="B13" s="219" t="s">
        <v>1674</v>
      </c>
      <c r="C13" s="220">
        <v>1.3841228583800602</v>
      </c>
      <c r="D13" s="219" t="s">
        <v>28</v>
      </c>
      <c r="E13" s="219" t="s">
        <v>1691</v>
      </c>
      <c r="F13" s="219" t="s">
        <v>1672</v>
      </c>
    </row>
    <row r="14" spans="1:6">
      <c r="A14" s="219" t="s">
        <v>1679</v>
      </c>
      <c r="B14" s="219" t="s">
        <v>1680</v>
      </c>
      <c r="C14" s="220">
        <v>138.6156340121243</v>
      </c>
      <c r="D14" s="219" t="s">
        <v>28</v>
      </c>
      <c r="E14" s="219" t="s">
        <v>1691</v>
      </c>
      <c r="F14" s="219" t="s">
        <v>1672</v>
      </c>
    </row>
    <row r="15" spans="1:6">
      <c r="A15" s="219" t="s">
        <v>1681</v>
      </c>
      <c r="B15" s="219" t="s">
        <v>1682</v>
      </c>
      <c r="C15" s="220">
        <v>22.840827710389682</v>
      </c>
      <c r="D15" s="219" t="s">
        <v>28</v>
      </c>
      <c r="E15" s="219" t="s">
        <v>1691</v>
      </c>
      <c r="F15" s="219" t="s">
        <v>1672</v>
      </c>
    </row>
    <row r="16" spans="1:6">
      <c r="A16" s="219" t="s">
        <v>1683</v>
      </c>
      <c r="B16" s="219" t="s">
        <v>1684</v>
      </c>
      <c r="C16" s="220">
        <v>0.31824585352035112</v>
      </c>
      <c r="D16" s="219" t="s">
        <v>28</v>
      </c>
      <c r="E16" s="219" t="s">
        <v>1691</v>
      </c>
      <c r="F16" s="219" t="s">
        <v>1672</v>
      </c>
    </row>
    <row r="17" spans="1:6">
      <c r="A17" s="219" t="s">
        <v>1689</v>
      </c>
      <c r="B17" s="219" t="s">
        <v>1690</v>
      </c>
      <c r="C17" s="220">
        <v>0.89500000000000002</v>
      </c>
      <c r="D17" s="219" t="s">
        <v>28</v>
      </c>
      <c r="E17" s="219" t="s">
        <v>1691</v>
      </c>
      <c r="F17" s="219" t="s">
        <v>1672</v>
      </c>
    </row>
    <row r="18" spans="1:6">
      <c r="A18" s="219" t="s">
        <v>1669</v>
      </c>
      <c r="B18" s="219" t="s">
        <v>1670</v>
      </c>
      <c r="C18" s="220">
        <v>87433.656649724755</v>
      </c>
      <c r="D18" s="219" t="s">
        <v>30</v>
      </c>
      <c r="E18" s="219" t="s">
        <v>1691</v>
      </c>
      <c r="F18" s="219" t="s">
        <v>1672</v>
      </c>
    </row>
    <row r="19" spans="1:6">
      <c r="A19" s="219" t="s">
        <v>1673</v>
      </c>
      <c r="B19" s="219" t="s">
        <v>1674</v>
      </c>
      <c r="C19" s="220">
        <v>1271.252826891465</v>
      </c>
      <c r="D19" s="219" t="s">
        <v>30</v>
      </c>
      <c r="E19" s="219" t="s">
        <v>1691</v>
      </c>
      <c r="F19" s="219" t="s">
        <v>1672</v>
      </c>
    </row>
    <row r="20" spans="1:6">
      <c r="A20" s="219" t="s">
        <v>1675</v>
      </c>
      <c r="B20" s="219" t="s">
        <v>1676</v>
      </c>
      <c r="C20" s="220">
        <v>8.7282727525191898E-3</v>
      </c>
      <c r="D20" s="219" t="s">
        <v>30</v>
      </c>
      <c r="E20" s="219" t="s">
        <v>1691</v>
      </c>
      <c r="F20" s="219" t="s">
        <v>1672</v>
      </c>
    </row>
    <row r="21" spans="1:6">
      <c r="A21" s="219" t="s">
        <v>1677</v>
      </c>
      <c r="B21" s="219" t="s">
        <v>1678</v>
      </c>
      <c r="C21" s="220">
        <v>2.8597709225812973</v>
      </c>
      <c r="D21" s="219" t="s">
        <v>30</v>
      </c>
      <c r="E21" s="219" t="s">
        <v>1691</v>
      </c>
      <c r="F21" s="219" t="s">
        <v>1672</v>
      </c>
    </row>
    <row r="22" spans="1:6">
      <c r="A22" s="219" t="s">
        <v>1679</v>
      </c>
      <c r="B22" s="219" t="s">
        <v>1680</v>
      </c>
      <c r="C22" s="220">
        <v>56171.630275197742</v>
      </c>
      <c r="D22" s="219" t="s">
        <v>30</v>
      </c>
      <c r="E22" s="219" t="s">
        <v>1691</v>
      </c>
      <c r="F22" s="219" t="s">
        <v>1672</v>
      </c>
    </row>
    <row r="23" spans="1:6">
      <c r="A23" s="219" t="s">
        <v>1681</v>
      </c>
      <c r="B23" s="219" t="s">
        <v>1682</v>
      </c>
      <c r="C23" s="220">
        <v>4.4001337827309248</v>
      </c>
      <c r="D23" s="219" t="s">
        <v>30</v>
      </c>
      <c r="E23" s="219" t="s">
        <v>1691</v>
      </c>
      <c r="F23" s="219" t="s">
        <v>1672</v>
      </c>
    </row>
    <row r="24" spans="1:6">
      <c r="A24" s="219" t="s">
        <v>1683</v>
      </c>
      <c r="B24" s="219" t="s">
        <v>1684</v>
      </c>
      <c r="C24" s="220">
        <v>382.18094162147264</v>
      </c>
      <c r="D24" s="219" t="s">
        <v>30</v>
      </c>
      <c r="E24" s="219" t="s">
        <v>1691</v>
      </c>
      <c r="F24" s="219" t="s">
        <v>1672</v>
      </c>
    </row>
    <row r="25" spans="1:6">
      <c r="A25" s="219" t="s">
        <v>1685</v>
      </c>
      <c r="B25" s="219" t="s">
        <v>1686</v>
      </c>
      <c r="C25" s="220">
        <v>804.7999523094395</v>
      </c>
      <c r="D25" s="219" t="s">
        <v>30</v>
      </c>
      <c r="E25" s="219" t="s">
        <v>1691</v>
      </c>
      <c r="F25" s="219" t="s">
        <v>1672</v>
      </c>
    </row>
    <row r="26" spans="1:6">
      <c r="A26" s="219" t="s">
        <v>1687</v>
      </c>
      <c r="B26" s="219" t="s">
        <v>1688</v>
      </c>
      <c r="C26" s="220">
        <v>8238.3933330067503</v>
      </c>
      <c r="D26" s="219" t="s">
        <v>30</v>
      </c>
      <c r="E26" s="219" t="s">
        <v>1691</v>
      </c>
      <c r="F26" s="219" t="s">
        <v>1672</v>
      </c>
    </row>
    <row r="27" spans="1:6">
      <c r="A27" s="219" t="s">
        <v>1689</v>
      </c>
      <c r="B27" s="219" t="s">
        <v>1690</v>
      </c>
      <c r="C27" s="220">
        <v>1.0475183584129368</v>
      </c>
      <c r="D27" s="219" t="s">
        <v>30</v>
      </c>
      <c r="E27" s="219" t="s">
        <v>1691</v>
      </c>
      <c r="F27" s="219" t="s">
        <v>1672</v>
      </c>
    </row>
    <row r="28" spans="1:6">
      <c r="A28" s="219" t="s">
        <v>1692</v>
      </c>
      <c r="B28" s="219" t="s">
        <v>1693</v>
      </c>
      <c r="C28" s="220">
        <v>1</v>
      </c>
      <c r="D28" s="219" t="s">
        <v>18</v>
      </c>
      <c r="E28" s="219" t="s">
        <v>1694</v>
      </c>
      <c r="F28" s="219" t="s">
        <v>1672</v>
      </c>
    </row>
    <row r="29" spans="1:6">
      <c r="A29" s="219" t="s">
        <v>1692</v>
      </c>
      <c r="B29" s="219" t="s">
        <v>1693</v>
      </c>
      <c r="C29" s="220">
        <v>1</v>
      </c>
      <c r="D29" s="219" t="s">
        <v>22</v>
      </c>
      <c r="E29" s="219" t="s">
        <v>1694</v>
      </c>
      <c r="F29" s="219" t="s">
        <v>1672</v>
      </c>
    </row>
    <row r="30" spans="1:6">
      <c r="A30" s="219" t="s">
        <v>1695</v>
      </c>
      <c r="B30" s="219" t="s">
        <v>1696</v>
      </c>
      <c r="C30" s="220">
        <v>1</v>
      </c>
      <c r="D30" s="219" t="s">
        <v>24</v>
      </c>
      <c r="E30" s="219" t="s">
        <v>1697</v>
      </c>
      <c r="F30" s="219" t="s">
        <v>1672</v>
      </c>
    </row>
    <row r="31" spans="1:6">
      <c r="A31" s="219" t="s">
        <v>1692</v>
      </c>
      <c r="B31" s="219" t="s">
        <v>1693</v>
      </c>
      <c r="C31" s="220">
        <v>0.36</v>
      </c>
      <c r="D31" s="219" t="s">
        <v>24</v>
      </c>
      <c r="E31" s="219" t="s">
        <v>1697</v>
      </c>
      <c r="F31" s="219" t="s">
        <v>1672</v>
      </c>
    </row>
    <row r="32" spans="1:6">
      <c r="A32" s="219" t="s">
        <v>1698</v>
      </c>
      <c r="B32" s="219" t="s">
        <v>1699</v>
      </c>
      <c r="C32" s="220">
        <v>1.96</v>
      </c>
      <c r="D32" s="219" t="s">
        <v>24</v>
      </c>
      <c r="E32" s="219" t="s">
        <v>1697</v>
      </c>
      <c r="F32" s="219" t="s">
        <v>1672</v>
      </c>
    </row>
    <row r="33" spans="1:6">
      <c r="A33" s="219" t="s">
        <v>1700</v>
      </c>
      <c r="B33" s="219" t="s">
        <v>1701</v>
      </c>
      <c r="C33" s="220">
        <f>INDEX('LCA | DB'!$G$3:$Y964,MATCH($F33,'LCA | DB'!$Z$3:$Z$1000,0),MATCH($D33,'LCA | DB'!$G$1:$Y$1,0))</f>
        <v>1.073935818731429E-4</v>
      </c>
      <c r="D33" s="219" t="s">
        <v>24</v>
      </c>
      <c r="E33" s="219" t="s">
        <v>1634</v>
      </c>
      <c r="F33" s="219" t="s">
        <v>1663</v>
      </c>
    </row>
    <row r="34" spans="1:6">
      <c r="A34" s="219" t="s">
        <v>1700</v>
      </c>
      <c r="B34" s="219" t="s">
        <v>1701</v>
      </c>
      <c r="C34" s="220">
        <f>INDEX('LCA | DB'!$G$3:$Y965,MATCH($F34,'LCA | DB'!$Z$3:$Z$1000,0),MATCH($D34,'LCA | DB'!$G$1:$Y$1,0))</f>
        <v>0.67945150111403363</v>
      </c>
      <c r="D34" s="219" t="s">
        <v>32</v>
      </c>
      <c r="E34" s="219" t="s">
        <v>1635</v>
      </c>
      <c r="F34" s="219" t="s">
        <v>1663</v>
      </c>
    </row>
    <row r="35" spans="1:6">
      <c r="A35" s="219" t="s">
        <v>1700</v>
      </c>
      <c r="B35" s="219" t="s">
        <v>1701</v>
      </c>
      <c r="C35" s="220">
        <f>INDEX('LCA | DB'!$G$3:$Y966,MATCH($F35,'LCA | DB'!$Z$3:$Z$1000,0),MATCH($D35,'LCA | DB'!$G$1:$Y$1,0))</f>
        <v>0.48109047526327797</v>
      </c>
      <c r="D35" s="219" t="s">
        <v>29</v>
      </c>
      <c r="E35" s="219" t="s">
        <v>1636</v>
      </c>
      <c r="F35" s="219" t="s">
        <v>1663</v>
      </c>
    </row>
    <row r="36" spans="1:6">
      <c r="A36" s="219" t="s">
        <v>1700</v>
      </c>
      <c r="B36" s="219" t="s">
        <v>1701</v>
      </c>
      <c r="C36" s="220">
        <f>INDEX('LCA | DB'!$G$3:$Y967,MATCH($F36,'LCA | DB'!$Z$3:$Z$1000,0),MATCH($D36,'LCA | DB'!$G$1:$Y$1,0))</f>
        <v>0.63624209567454615</v>
      </c>
      <c r="D36" s="219" t="s">
        <v>21</v>
      </c>
      <c r="E36" s="219" t="s">
        <v>1636</v>
      </c>
      <c r="F36" s="219" t="s">
        <v>1663</v>
      </c>
    </row>
    <row r="37" spans="1:6">
      <c r="A37" s="219" t="s">
        <v>1700</v>
      </c>
      <c r="B37" s="219" t="s">
        <v>1701</v>
      </c>
      <c r="C37" s="220">
        <f>INDEX('LCA | DB'!$G$3:$Y968,MATCH($F37,'LCA | DB'!$Z$3:$Z$1000,0),MATCH($D37,'LCA | DB'!$G$1:$Y$1,0))</f>
        <v>0.21251903514527709</v>
      </c>
      <c r="D37" s="219" t="s">
        <v>34</v>
      </c>
      <c r="E37" s="219" t="s">
        <v>1636</v>
      </c>
      <c r="F37" s="219" t="s">
        <v>1663</v>
      </c>
    </row>
    <row r="38" spans="1:6">
      <c r="A38" s="219" t="s">
        <v>1700</v>
      </c>
      <c r="B38" s="219" t="s">
        <v>1701</v>
      </c>
      <c r="C38" s="220">
        <f>INDEX('LCA | DB'!$G$3:$Y969,MATCH($F38,'LCA | DB'!$Z$3:$Z$1000,0),MATCH($D38,'LCA | DB'!$G$1:$Y$1,0))</f>
        <v>7.1396041437645956E-3</v>
      </c>
      <c r="D38" s="219" t="s">
        <v>31</v>
      </c>
      <c r="E38" s="219" t="s">
        <v>1637</v>
      </c>
      <c r="F38" s="219" t="s">
        <v>1663</v>
      </c>
    </row>
    <row r="39" spans="1:6">
      <c r="A39" s="219" t="s">
        <v>1700</v>
      </c>
      <c r="B39" s="219" t="s">
        <v>1701</v>
      </c>
      <c r="C39" s="220">
        <f>INDEX('LCA | DB'!$G$3:$Y970,MATCH($F39,'LCA | DB'!$Z$3:$Z$1000,0),MATCH($D39,'LCA | DB'!$G$1:$Y$1,0))</f>
        <v>7.5980934669908095E-5</v>
      </c>
      <c r="D39" s="219" t="s">
        <v>23</v>
      </c>
      <c r="E39" s="219" t="s">
        <v>1638</v>
      </c>
      <c r="F39" s="219" t="s">
        <v>1663</v>
      </c>
    </row>
    <row r="40" spans="1:6">
      <c r="A40" s="219" t="s">
        <v>1700</v>
      </c>
      <c r="B40" s="219" t="s">
        <v>1701</v>
      </c>
      <c r="C40" s="220">
        <f>INDEX('LCA | DB'!$G$3:$Y971,MATCH($F40,'LCA | DB'!$Z$3:$Z$1000,0),MATCH($D40,'LCA | DB'!$G$1:$Y$1,0))</f>
        <v>9.7092529081638907E-4</v>
      </c>
      <c r="D40" s="219" t="s">
        <v>19</v>
      </c>
      <c r="E40" s="219" t="s">
        <v>1639</v>
      </c>
      <c r="F40" s="219" t="s">
        <v>1663</v>
      </c>
    </row>
    <row r="41" spans="1:6">
      <c r="A41" s="219" t="s">
        <v>1700</v>
      </c>
      <c r="B41" s="219" t="s">
        <v>1701</v>
      </c>
      <c r="C41" s="220">
        <f>INDEX('LCA | DB'!$G$3:$Y972,MATCH($F41,'LCA | DB'!$Z$3:$Z$1000,0),MATCH($D41,'LCA | DB'!$G$1:$Y$1,0))</f>
        <v>1.3619585619484091E-2</v>
      </c>
      <c r="D41" s="219" t="s">
        <v>28</v>
      </c>
      <c r="E41" s="219" t="s">
        <v>1636</v>
      </c>
      <c r="F41" s="219" t="s">
        <v>1663</v>
      </c>
    </row>
    <row r="42" spans="1:6">
      <c r="A42" s="219" t="s">
        <v>1700</v>
      </c>
      <c r="B42" s="219" t="s">
        <v>1701</v>
      </c>
      <c r="C42" s="220">
        <f>INDEX('LCA | DB'!$G$3:$Y973,MATCH($F42,'LCA | DB'!$Z$3:$Z$1000,0),MATCH($D42,'LCA | DB'!$G$1:$Y$1,0))</f>
        <v>11.195287007241641</v>
      </c>
      <c r="D42" s="219" t="s">
        <v>30</v>
      </c>
      <c r="E42" s="219" t="s">
        <v>1636</v>
      </c>
      <c r="F42" s="219" t="s">
        <v>1663</v>
      </c>
    </row>
    <row r="43" spans="1:6">
      <c r="A43" s="219" t="s">
        <v>1700</v>
      </c>
      <c r="B43" s="219" t="s">
        <v>1701</v>
      </c>
      <c r="C43" s="220">
        <f>INDEX('LCA | DB'!$G$3:$Y974,MATCH($F43,'LCA | DB'!$Z$3:$Z$1000,0),MATCH($D43,'LCA | DB'!$G$1:$Y$1,0))</f>
        <v>6.8177622640954523E-4</v>
      </c>
      <c r="D43" s="219" t="s">
        <v>20</v>
      </c>
      <c r="E43" s="219" t="s">
        <v>1640</v>
      </c>
      <c r="F43" s="219" t="s">
        <v>1663</v>
      </c>
    </row>
    <row r="44" spans="1:6">
      <c r="A44" s="219" t="s">
        <v>1700</v>
      </c>
      <c r="B44" s="219" t="s">
        <v>1701</v>
      </c>
      <c r="C44" s="220">
        <f>INDEX('LCA | DB'!$G$3:$Y975,MATCH($F44,'LCA | DB'!$Z$3:$Z$1000,0),MATCH($D44,'LCA | DB'!$G$1:$Y$1,0))</f>
        <v>3.020632093426504E-3</v>
      </c>
      <c r="D44" s="219" t="s">
        <v>26</v>
      </c>
      <c r="E44" s="219" t="s">
        <v>1641</v>
      </c>
      <c r="F44" s="219" t="s">
        <v>1663</v>
      </c>
    </row>
    <row r="45" spans="1:6">
      <c r="A45" s="219" t="s">
        <v>1700</v>
      </c>
      <c r="B45" s="219" t="s">
        <v>1701</v>
      </c>
      <c r="C45" s="220">
        <f>INDEX('LCA | DB'!$G$3:$Y976,MATCH($F45,'LCA | DB'!$Z$3:$Z$1000,0),MATCH($D45,'LCA | DB'!$G$1:$Y$1,0))</f>
        <v>2.5334824888825059E-4</v>
      </c>
      <c r="D45" s="219" t="s">
        <v>25</v>
      </c>
      <c r="E45" s="219" t="s">
        <v>1642</v>
      </c>
      <c r="F45" s="219" t="s">
        <v>1663</v>
      </c>
    </row>
    <row r="46" spans="1:6">
      <c r="A46" s="219" t="s">
        <v>1700</v>
      </c>
      <c r="B46" s="219" t="s">
        <v>1701</v>
      </c>
      <c r="C46" s="220">
        <f>INDEX('LCA | DB'!$G$3:$Y977,MATCH($F46,'LCA | DB'!$Z$3:$Z$1000,0),MATCH($D46,'LCA | DB'!$G$1:$Y$1,0))</f>
        <v>9.1811562732685089E-8</v>
      </c>
      <c r="D46" s="219" t="s">
        <v>16</v>
      </c>
      <c r="E46" s="219" t="s">
        <v>1643</v>
      </c>
      <c r="F46" s="219" t="s">
        <v>1663</v>
      </c>
    </row>
    <row r="47" spans="1:6">
      <c r="A47" s="219" t="s">
        <v>1700</v>
      </c>
      <c r="B47" s="219" t="s">
        <v>1701</v>
      </c>
      <c r="C47" s="220">
        <f>INDEX('LCA | DB'!$G$3:$Y978,MATCH($F47,'LCA | DB'!$Z$3:$Z$1000,0),MATCH($D47,'LCA | DB'!$G$1:$Y$1,0))</f>
        <v>4.5245686548664841E-5</v>
      </c>
      <c r="D47" s="219" t="s">
        <v>27</v>
      </c>
      <c r="E47" s="219" t="s">
        <v>1644</v>
      </c>
      <c r="F47" s="219" t="s">
        <v>1663</v>
      </c>
    </row>
    <row r="48" spans="1:6">
      <c r="A48" s="219" t="s">
        <v>1700</v>
      </c>
      <c r="B48" s="219" t="s">
        <v>1701</v>
      </c>
      <c r="C48" s="220">
        <f>INDEX('LCA | DB'!$G$3:$Y979,MATCH($F48,'LCA | DB'!$Z$3:$Z$1000,0),MATCH($D48,'LCA | DB'!$G$1:$Y$1,0))</f>
        <v>1.0398432697452159E-4</v>
      </c>
      <c r="D48" s="219" t="s">
        <v>18</v>
      </c>
      <c r="E48" s="219" t="s">
        <v>1645</v>
      </c>
      <c r="F48" s="219" t="s">
        <v>1663</v>
      </c>
    </row>
    <row r="49" spans="1:6">
      <c r="A49" s="219" t="s">
        <v>1700</v>
      </c>
      <c r="B49" s="219" t="s">
        <v>1701</v>
      </c>
      <c r="C49" s="220">
        <f>INDEX('LCA | DB'!$G$3:$Y980,MATCH($F49,'LCA | DB'!$Z$3:$Z$1000,0),MATCH($D49,'LCA | DB'!$G$1:$Y$1,0))</f>
        <v>1.0813176397751929E-4</v>
      </c>
      <c r="D49" s="219" t="s">
        <v>22</v>
      </c>
      <c r="E49" s="219" t="s">
        <v>1645</v>
      </c>
      <c r="F49" s="219" t="s">
        <v>1663</v>
      </c>
    </row>
    <row r="50" spans="1:6">
      <c r="A50" s="219" t="s">
        <v>1700</v>
      </c>
      <c r="B50" s="219" t="s">
        <v>1701</v>
      </c>
      <c r="C50" s="220">
        <f>INDEX('LCA | DB'!$G$3:$Y981,MATCH($F50,'LCA | DB'!$Z$3:$Z$1000,0),MATCH($D50,'LCA | DB'!$G$1:$Y$1,0))</f>
        <v>1.1174095964423E-3</v>
      </c>
      <c r="D50" s="219" t="s">
        <v>33</v>
      </c>
      <c r="E50" s="219" t="s">
        <v>1646</v>
      </c>
      <c r="F50" s="219" t="s">
        <v>1663</v>
      </c>
    </row>
    <row r="51" spans="1:6">
      <c r="A51" s="219" t="s">
        <v>1700</v>
      </c>
      <c r="B51" s="219" t="s">
        <v>1702</v>
      </c>
      <c r="C51" s="220">
        <f>INDEX('LCA | DB'!$G$3:$Y982,MATCH($F51,'LCA | DB'!$Z$3:$Z$1000,0),MATCH($D51,'LCA | DB'!$G$1:$Y$1,0))</f>
        <v>1.073935818731429E-4</v>
      </c>
      <c r="D51" s="219" t="s">
        <v>24</v>
      </c>
      <c r="E51" s="219" t="s">
        <v>1634</v>
      </c>
      <c r="F51" s="219" t="s">
        <v>1663</v>
      </c>
    </row>
    <row r="52" spans="1:6">
      <c r="A52" s="219" t="s">
        <v>1700</v>
      </c>
      <c r="B52" s="219" t="s">
        <v>1702</v>
      </c>
      <c r="C52" s="220">
        <f>INDEX('LCA | DB'!$G$3:$Y983,MATCH($F52,'LCA | DB'!$Z$3:$Z$1000,0),MATCH($D52,'LCA | DB'!$G$1:$Y$1,0))</f>
        <v>0.67945150111403363</v>
      </c>
      <c r="D52" s="219" t="s">
        <v>32</v>
      </c>
      <c r="E52" s="219" t="s">
        <v>1635</v>
      </c>
      <c r="F52" s="219" t="s">
        <v>1663</v>
      </c>
    </row>
    <row r="53" spans="1:6">
      <c r="A53" s="219" t="s">
        <v>1700</v>
      </c>
      <c r="B53" s="219" t="s">
        <v>1702</v>
      </c>
      <c r="C53" s="220">
        <f>INDEX('LCA | DB'!$G$3:$Y984,MATCH($F53,'LCA | DB'!$Z$3:$Z$1000,0),MATCH($D53,'LCA | DB'!$G$1:$Y$1,0))</f>
        <v>0.48109047526327797</v>
      </c>
      <c r="D53" s="219" t="s">
        <v>29</v>
      </c>
      <c r="E53" s="219" t="s">
        <v>1636</v>
      </c>
      <c r="F53" s="219" t="s">
        <v>1663</v>
      </c>
    </row>
    <row r="54" spans="1:6">
      <c r="A54" s="219" t="s">
        <v>1700</v>
      </c>
      <c r="B54" s="219" t="s">
        <v>1702</v>
      </c>
      <c r="C54" s="220">
        <f>INDEX('LCA | DB'!$G$3:$Y985,MATCH($F54,'LCA | DB'!$Z$3:$Z$1000,0),MATCH($D54,'LCA | DB'!$G$1:$Y$1,0))</f>
        <v>0.63624209567454615</v>
      </c>
      <c r="D54" s="219" t="s">
        <v>21</v>
      </c>
      <c r="E54" s="219" t="s">
        <v>1636</v>
      </c>
      <c r="F54" s="219" t="s">
        <v>1663</v>
      </c>
    </row>
    <row r="55" spans="1:6">
      <c r="A55" s="219" t="s">
        <v>1700</v>
      </c>
      <c r="B55" s="219" t="s">
        <v>1702</v>
      </c>
      <c r="C55" s="220">
        <f>INDEX('LCA | DB'!$G$3:$Y986,MATCH($F55,'LCA | DB'!$Z$3:$Z$1000,0),MATCH($D55,'LCA | DB'!$G$1:$Y$1,0))</f>
        <v>0.21251903514527709</v>
      </c>
      <c r="D55" s="219" t="s">
        <v>34</v>
      </c>
      <c r="E55" s="219" t="s">
        <v>1636</v>
      </c>
      <c r="F55" s="219" t="s">
        <v>1663</v>
      </c>
    </row>
    <row r="56" spans="1:6">
      <c r="A56" s="219" t="s">
        <v>1700</v>
      </c>
      <c r="B56" s="219" t="s">
        <v>1702</v>
      </c>
      <c r="C56" s="220">
        <f>INDEX('LCA | DB'!$G$3:$Y987,MATCH($F56,'LCA | DB'!$Z$3:$Z$1000,0),MATCH($D56,'LCA | DB'!$G$1:$Y$1,0))</f>
        <v>7.1396041437645956E-3</v>
      </c>
      <c r="D56" s="219" t="s">
        <v>31</v>
      </c>
      <c r="E56" s="219" t="s">
        <v>1637</v>
      </c>
      <c r="F56" s="219" t="s">
        <v>1663</v>
      </c>
    </row>
    <row r="57" spans="1:6">
      <c r="A57" s="219" t="s">
        <v>1700</v>
      </c>
      <c r="B57" s="219" t="s">
        <v>1702</v>
      </c>
      <c r="C57" s="220">
        <f>INDEX('LCA | DB'!$G$3:$Y988,MATCH($F57,'LCA | DB'!$Z$3:$Z$1000,0),MATCH($D57,'LCA | DB'!$G$1:$Y$1,0))</f>
        <v>7.5980934669908095E-5</v>
      </c>
      <c r="D57" s="219" t="s">
        <v>23</v>
      </c>
      <c r="E57" s="219" t="s">
        <v>1638</v>
      </c>
      <c r="F57" s="219" t="s">
        <v>1663</v>
      </c>
    </row>
    <row r="58" spans="1:6">
      <c r="A58" s="219" t="s">
        <v>1700</v>
      </c>
      <c r="B58" s="219" t="s">
        <v>1702</v>
      </c>
      <c r="C58" s="220">
        <f>INDEX('LCA | DB'!$G$3:$Y989,MATCH($F58,'LCA | DB'!$Z$3:$Z$1000,0),MATCH($D58,'LCA | DB'!$G$1:$Y$1,0))</f>
        <v>9.7092529081638907E-4</v>
      </c>
      <c r="D58" s="219" t="s">
        <v>19</v>
      </c>
      <c r="E58" s="219" t="s">
        <v>1639</v>
      </c>
      <c r="F58" s="219" t="s">
        <v>1663</v>
      </c>
    </row>
    <row r="59" spans="1:6">
      <c r="A59" s="219" t="s">
        <v>1700</v>
      </c>
      <c r="B59" s="219" t="s">
        <v>1702</v>
      </c>
      <c r="C59" s="220">
        <f>INDEX('LCA | DB'!$G$3:$Y990,MATCH($F59,'LCA | DB'!$Z$3:$Z$1000,0),MATCH($D59,'LCA | DB'!$G$1:$Y$1,0))</f>
        <v>1.3619585619484091E-2</v>
      </c>
      <c r="D59" s="219" t="s">
        <v>28</v>
      </c>
      <c r="E59" s="219" t="s">
        <v>1636</v>
      </c>
      <c r="F59" s="219" t="s">
        <v>1663</v>
      </c>
    </row>
    <row r="60" spans="1:6">
      <c r="A60" s="219" t="s">
        <v>1700</v>
      </c>
      <c r="B60" s="219" t="s">
        <v>1702</v>
      </c>
      <c r="C60" s="220">
        <f>INDEX('LCA | DB'!$G$3:$Y991,MATCH($F60,'LCA | DB'!$Z$3:$Z$1000,0),MATCH($D60,'LCA | DB'!$G$1:$Y$1,0))</f>
        <v>11.195287007241641</v>
      </c>
      <c r="D60" s="219" t="s">
        <v>30</v>
      </c>
      <c r="E60" s="219" t="s">
        <v>1636</v>
      </c>
      <c r="F60" s="219" t="s">
        <v>1663</v>
      </c>
    </row>
    <row r="61" spans="1:6">
      <c r="A61" s="219" t="s">
        <v>1700</v>
      </c>
      <c r="B61" s="219" t="s">
        <v>1702</v>
      </c>
      <c r="C61" s="220">
        <f>INDEX('LCA | DB'!$G$3:$Y992,MATCH($F61,'LCA | DB'!$Z$3:$Z$1000,0),MATCH($D61,'LCA | DB'!$G$1:$Y$1,0))</f>
        <v>6.8177622640954523E-4</v>
      </c>
      <c r="D61" s="219" t="s">
        <v>20</v>
      </c>
      <c r="E61" s="219" t="s">
        <v>1640</v>
      </c>
      <c r="F61" s="219" t="s">
        <v>1663</v>
      </c>
    </row>
    <row r="62" spans="1:6">
      <c r="A62" s="219" t="s">
        <v>1700</v>
      </c>
      <c r="B62" s="219" t="s">
        <v>1702</v>
      </c>
      <c r="C62" s="220">
        <f>INDEX('LCA | DB'!$G$3:$Y993,MATCH($F62,'LCA | DB'!$Z$3:$Z$1000,0),MATCH($D62,'LCA | DB'!$G$1:$Y$1,0))</f>
        <v>3.020632093426504E-3</v>
      </c>
      <c r="D62" s="219" t="s">
        <v>26</v>
      </c>
      <c r="E62" s="219" t="s">
        <v>1641</v>
      </c>
      <c r="F62" s="219" t="s">
        <v>1663</v>
      </c>
    </row>
    <row r="63" spans="1:6">
      <c r="A63" s="219" t="s">
        <v>1700</v>
      </c>
      <c r="B63" s="219" t="s">
        <v>1702</v>
      </c>
      <c r="C63" s="220">
        <f>INDEX('LCA | DB'!$G$3:$Y994,MATCH($F63,'LCA | DB'!$Z$3:$Z$1000,0),MATCH($D63,'LCA | DB'!$G$1:$Y$1,0))</f>
        <v>2.5334824888825059E-4</v>
      </c>
      <c r="D63" s="219" t="s">
        <v>25</v>
      </c>
      <c r="E63" s="219" t="s">
        <v>1642</v>
      </c>
      <c r="F63" s="219" t="s">
        <v>1663</v>
      </c>
    </row>
    <row r="64" spans="1:6">
      <c r="A64" s="219" t="s">
        <v>1700</v>
      </c>
      <c r="B64" s="219" t="s">
        <v>1702</v>
      </c>
      <c r="C64" s="220">
        <f>INDEX('LCA | DB'!$G$3:$Y995,MATCH($F64,'LCA | DB'!$Z$3:$Z$1000,0),MATCH($D64,'LCA | DB'!$G$1:$Y$1,0))</f>
        <v>9.1811562732685089E-8</v>
      </c>
      <c r="D64" s="219" t="s">
        <v>16</v>
      </c>
      <c r="E64" s="219" t="s">
        <v>1643</v>
      </c>
      <c r="F64" s="219" t="s">
        <v>1663</v>
      </c>
    </row>
    <row r="65" spans="1:6">
      <c r="A65" s="219" t="s">
        <v>1700</v>
      </c>
      <c r="B65" s="219" t="s">
        <v>1702</v>
      </c>
      <c r="C65" s="220">
        <f>INDEX('LCA | DB'!$G$3:$Y996,MATCH($F65,'LCA | DB'!$Z$3:$Z$1000,0),MATCH($D65,'LCA | DB'!$G$1:$Y$1,0))</f>
        <v>4.5245686548664841E-5</v>
      </c>
      <c r="D65" s="219" t="s">
        <v>27</v>
      </c>
      <c r="E65" s="219" t="s">
        <v>1644</v>
      </c>
      <c r="F65" s="219" t="s">
        <v>1663</v>
      </c>
    </row>
    <row r="66" spans="1:6">
      <c r="A66" s="219" t="s">
        <v>1700</v>
      </c>
      <c r="B66" s="219" t="s">
        <v>1702</v>
      </c>
      <c r="C66" s="220">
        <f>INDEX('LCA | DB'!$G$3:$Y997,MATCH($F66,'LCA | DB'!$Z$3:$Z$1000,0),MATCH($D66,'LCA | DB'!$G$1:$Y$1,0))</f>
        <v>1.0398432697452159E-4</v>
      </c>
      <c r="D66" s="219" t="s">
        <v>18</v>
      </c>
      <c r="E66" s="219" t="s">
        <v>1645</v>
      </c>
      <c r="F66" s="219" t="s">
        <v>1663</v>
      </c>
    </row>
    <row r="67" spans="1:6">
      <c r="A67" s="219" t="s">
        <v>1700</v>
      </c>
      <c r="B67" s="219" t="s">
        <v>1702</v>
      </c>
      <c r="C67" s="220">
        <f>INDEX('LCA | DB'!$G$3:$Y998,MATCH($F67,'LCA | DB'!$Z$3:$Z$1000,0),MATCH($D67,'LCA | DB'!$G$1:$Y$1,0))</f>
        <v>1.0813176397751929E-4</v>
      </c>
      <c r="D67" s="219" t="s">
        <v>22</v>
      </c>
      <c r="E67" s="219" t="s">
        <v>1645</v>
      </c>
      <c r="F67" s="219" t="s">
        <v>1663</v>
      </c>
    </row>
    <row r="68" spans="1:6">
      <c r="A68" s="219" t="s">
        <v>1700</v>
      </c>
      <c r="B68" s="219" t="s">
        <v>1702</v>
      </c>
      <c r="C68" s="220">
        <f>INDEX('LCA | DB'!$G$3:$Y999,MATCH($F68,'LCA | DB'!$Z$3:$Z$1000,0),MATCH($D68,'LCA | DB'!$G$1:$Y$1,0))</f>
        <v>1.1174095964423E-3</v>
      </c>
      <c r="D68" s="219" t="s">
        <v>33</v>
      </c>
      <c r="E68" s="219" t="s">
        <v>1646</v>
      </c>
      <c r="F68" s="219" t="s">
        <v>1663</v>
      </c>
    </row>
    <row r="69" spans="1:6">
      <c r="A69" s="219" t="s">
        <v>1700</v>
      </c>
      <c r="B69" s="219" t="s">
        <v>1703</v>
      </c>
      <c r="C69" s="220">
        <f>INDEX('LCA | DB'!$G$3:$Y1000,MATCH($F69,'LCA | DB'!$Z$3:$Z$1000,0),MATCH($D69,'LCA | DB'!$G$1:$Y$1,0))</f>
        <v>1.656220537253398E-4</v>
      </c>
      <c r="D69" s="219" t="s">
        <v>24</v>
      </c>
      <c r="E69" s="219" t="s">
        <v>1634</v>
      </c>
      <c r="F69" s="219" t="s">
        <v>1660</v>
      </c>
    </row>
    <row r="70" spans="1:6">
      <c r="A70" s="219" t="s">
        <v>1700</v>
      </c>
      <c r="B70" s="219" t="s">
        <v>1703</v>
      </c>
      <c r="C70" s="220">
        <f>INDEX('LCA | DB'!$G$3:$Y1001,MATCH($F70,'LCA | DB'!$Z$3:$Z$1000,0),MATCH($D70,'LCA | DB'!$G$1:$Y$1,0))</f>
        <v>0.52065355311488293</v>
      </c>
      <c r="D70" s="219" t="s">
        <v>32</v>
      </c>
      <c r="E70" s="219" t="s">
        <v>1635</v>
      </c>
      <c r="F70" s="219" t="s">
        <v>1660</v>
      </c>
    </row>
    <row r="71" spans="1:6">
      <c r="A71" s="219" t="s">
        <v>1700</v>
      </c>
      <c r="B71" s="219" t="s">
        <v>1703</v>
      </c>
      <c r="C71" s="220">
        <f>INDEX('LCA | DB'!$G$3:$Y1002,MATCH($F71,'LCA | DB'!$Z$3:$Z$1000,0),MATCH($D71,'LCA | DB'!$G$1:$Y$1,0))</f>
        <v>0.28676682683354182</v>
      </c>
      <c r="D71" s="219" t="s">
        <v>29</v>
      </c>
      <c r="E71" s="219" t="s">
        <v>1636</v>
      </c>
      <c r="F71" s="219" t="s">
        <v>1660</v>
      </c>
    </row>
    <row r="72" spans="1:6">
      <c r="A72" s="219" t="s">
        <v>1700</v>
      </c>
      <c r="B72" s="219" t="s">
        <v>1703</v>
      </c>
      <c r="C72" s="220">
        <f>INDEX('LCA | DB'!$G$3:$Y1003,MATCH($F72,'LCA | DB'!$Z$3:$Z$1000,0),MATCH($D72,'LCA | DB'!$G$1:$Y$1,0))</f>
        <v>0.37428544284909843</v>
      </c>
      <c r="D72" s="219" t="s">
        <v>21</v>
      </c>
      <c r="E72" s="219" t="s">
        <v>1636</v>
      </c>
      <c r="F72" s="219" t="s">
        <v>1660</v>
      </c>
    </row>
    <row r="73" spans="1:6">
      <c r="A73" s="219" t="s">
        <v>1700</v>
      </c>
      <c r="B73" s="219" t="s">
        <v>1703</v>
      </c>
      <c r="C73" s="220">
        <f>INDEX('LCA | DB'!$G$3:$Y1004,MATCH($F73,'LCA | DB'!$Z$3:$Z$1000,0),MATCH($D73,'LCA | DB'!$G$1:$Y$1,0))</f>
        <v>1.248143049522473</v>
      </c>
      <c r="D73" s="219" t="s">
        <v>34</v>
      </c>
      <c r="E73" s="219" t="s">
        <v>1636</v>
      </c>
      <c r="F73" s="219" t="s">
        <v>1660</v>
      </c>
    </row>
    <row r="74" spans="1:6">
      <c r="A74" s="219" t="s">
        <v>1700</v>
      </c>
      <c r="B74" s="219" t="s">
        <v>1703</v>
      </c>
      <c r="C74" s="220">
        <f>INDEX('LCA | DB'!$G$3:$Y1005,MATCH($F74,'LCA | DB'!$Z$3:$Z$1000,0),MATCH($D74,'LCA | DB'!$G$1:$Y$1,0))</f>
        <v>7.3925342706349382E-3</v>
      </c>
      <c r="D74" s="219" t="s">
        <v>31</v>
      </c>
      <c r="E74" s="219" t="s">
        <v>1637</v>
      </c>
      <c r="F74" s="219" t="s">
        <v>1660</v>
      </c>
    </row>
    <row r="75" spans="1:6">
      <c r="A75" s="219" t="s">
        <v>1700</v>
      </c>
      <c r="B75" s="219" t="s">
        <v>1703</v>
      </c>
      <c r="C75" s="220">
        <f>INDEX('LCA | DB'!$G$3:$Y1006,MATCH($F75,'LCA | DB'!$Z$3:$Z$1000,0),MATCH($D75,'LCA | DB'!$G$1:$Y$1,0))</f>
        <v>4.5865240474348952E-5</v>
      </c>
      <c r="D75" s="219" t="s">
        <v>23</v>
      </c>
      <c r="E75" s="219" t="s">
        <v>1638</v>
      </c>
      <c r="F75" s="219" t="s">
        <v>1660</v>
      </c>
    </row>
    <row r="76" spans="1:6">
      <c r="A76" s="219" t="s">
        <v>1700</v>
      </c>
      <c r="B76" s="219" t="s">
        <v>1703</v>
      </c>
      <c r="C76" s="220">
        <f>INDEX('LCA | DB'!$G$3:$Y1007,MATCH($F76,'LCA | DB'!$Z$3:$Z$1000,0),MATCH($D76,'LCA | DB'!$G$1:$Y$1,0))</f>
        <v>1.128692562679523E-5</v>
      </c>
      <c r="D76" s="219" t="s">
        <v>19</v>
      </c>
      <c r="E76" s="219" t="s">
        <v>1639</v>
      </c>
      <c r="F76" s="219" t="s">
        <v>1660</v>
      </c>
    </row>
    <row r="77" spans="1:6">
      <c r="A77" s="219" t="s">
        <v>1700</v>
      </c>
      <c r="B77" s="219" t="s">
        <v>1703</v>
      </c>
      <c r="C77" s="220">
        <f>INDEX('LCA | DB'!$G$3:$Y1008,MATCH($F77,'LCA | DB'!$Z$3:$Z$1000,0),MATCH($D77,'LCA | DB'!$G$1:$Y$1,0))</f>
        <v>8.6162683893615782E-2</v>
      </c>
      <c r="D77" s="219" t="s">
        <v>28</v>
      </c>
      <c r="E77" s="219" t="s">
        <v>1636</v>
      </c>
      <c r="F77" s="219" t="s">
        <v>1660</v>
      </c>
    </row>
    <row r="78" spans="1:6">
      <c r="A78" s="219" t="s">
        <v>1700</v>
      </c>
      <c r="B78" s="219" t="s">
        <v>1703</v>
      </c>
      <c r="C78" s="220">
        <f>INDEX('LCA | DB'!$G$3:$Y1009,MATCH($F78,'LCA | DB'!$Z$3:$Z$1000,0),MATCH($D78,'LCA | DB'!$G$1:$Y$1,0))</f>
        <v>5.461960289218184</v>
      </c>
      <c r="D78" s="219" t="s">
        <v>30</v>
      </c>
      <c r="E78" s="219" t="s">
        <v>1636</v>
      </c>
      <c r="F78" s="219" t="s">
        <v>1660</v>
      </c>
    </row>
    <row r="79" spans="1:6">
      <c r="A79" s="219" t="s">
        <v>1700</v>
      </c>
      <c r="B79" s="219" t="s">
        <v>1703</v>
      </c>
      <c r="C79" s="220">
        <f>INDEX('LCA | DB'!$G$3:$Y1010,MATCH($F79,'LCA | DB'!$Z$3:$Z$1000,0),MATCH($D79,'LCA | DB'!$G$1:$Y$1,0))</f>
        <v>4.1425588641865141E-4</v>
      </c>
      <c r="D79" s="219" t="s">
        <v>20</v>
      </c>
      <c r="E79" s="219" t="s">
        <v>1640</v>
      </c>
      <c r="F79" s="219" t="s">
        <v>1660</v>
      </c>
    </row>
    <row r="80" spans="1:6">
      <c r="A80" s="219" t="s">
        <v>1700</v>
      </c>
      <c r="B80" s="219" t="s">
        <v>1703</v>
      </c>
      <c r="C80" s="220">
        <f>INDEX('LCA | DB'!$G$3:$Y1011,MATCH($F80,'LCA | DB'!$Z$3:$Z$1000,0),MATCH($D80,'LCA | DB'!$G$1:$Y$1,0))</f>
        <v>1.257222777163594E-3</v>
      </c>
      <c r="D80" s="219" t="s">
        <v>26</v>
      </c>
      <c r="E80" s="219" t="s">
        <v>1641</v>
      </c>
      <c r="F80" s="219" t="s">
        <v>1660</v>
      </c>
    </row>
    <row r="81" spans="1:6">
      <c r="A81" s="219" t="s">
        <v>1700</v>
      </c>
      <c r="B81" s="219" t="s">
        <v>1703</v>
      </c>
      <c r="C81" s="220">
        <f>INDEX('LCA | DB'!$G$3:$Y1012,MATCH($F81,'LCA | DB'!$Z$3:$Z$1000,0),MATCH($D81,'LCA | DB'!$G$1:$Y$1,0))</f>
        <v>1.269380754903695E-3</v>
      </c>
      <c r="D81" s="219" t="s">
        <v>25</v>
      </c>
      <c r="E81" s="219" t="s">
        <v>1642</v>
      </c>
      <c r="F81" s="219" t="s">
        <v>1660</v>
      </c>
    </row>
    <row r="82" spans="1:6">
      <c r="A82" s="219" t="s">
        <v>1700</v>
      </c>
      <c r="B82" s="219" t="s">
        <v>1703</v>
      </c>
      <c r="C82" s="220">
        <f>INDEX('LCA | DB'!$G$3:$Y1013,MATCH($F82,'LCA | DB'!$Z$3:$Z$1000,0),MATCH($D82,'LCA | DB'!$G$1:$Y$1,0))</f>
        <v>5.1975192510958624E-7</v>
      </c>
      <c r="D82" s="219" t="s">
        <v>16</v>
      </c>
      <c r="E82" s="219" t="s">
        <v>1643</v>
      </c>
      <c r="F82" s="219" t="s">
        <v>1660</v>
      </c>
    </row>
    <row r="83" spans="1:6">
      <c r="A83" s="219" t="s">
        <v>1700</v>
      </c>
      <c r="B83" s="219" t="s">
        <v>1703</v>
      </c>
      <c r="C83" s="220">
        <f>INDEX('LCA | DB'!$G$3:$Y1014,MATCH($F83,'LCA | DB'!$Z$3:$Z$1000,0),MATCH($D83,'LCA | DB'!$G$1:$Y$1,0))</f>
        <v>6.3682704737241184E-5</v>
      </c>
      <c r="D83" s="219" t="s">
        <v>27</v>
      </c>
      <c r="E83" s="219" t="s">
        <v>1644</v>
      </c>
      <c r="F83" s="219" t="s">
        <v>1660</v>
      </c>
    </row>
    <row r="84" spans="1:6">
      <c r="A84" s="219" t="s">
        <v>1700</v>
      </c>
      <c r="B84" s="219" t="s">
        <v>1703</v>
      </c>
      <c r="C84" s="220">
        <f>INDEX('LCA | DB'!$G$3:$Y1015,MATCH($F84,'LCA | DB'!$Z$3:$Z$1000,0),MATCH($D84,'LCA | DB'!$G$1:$Y$1,0))</f>
        <v>3.3053305304327169E-4</v>
      </c>
      <c r="D84" s="219" t="s">
        <v>18</v>
      </c>
      <c r="E84" s="219" t="s">
        <v>1645</v>
      </c>
      <c r="F84" s="219" t="s">
        <v>1660</v>
      </c>
    </row>
    <row r="85" spans="1:6">
      <c r="A85" s="219" t="s">
        <v>1700</v>
      </c>
      <c r="B85" s="219" t="s">
        <v>1703</v>
      </c>
      <c r="C85" s="220">
        <f>INDEX('LCA | DB'!$G$3:$Y1016,MATCH($F85,'LCA | DB'!$Z$3:$Z$1000,0),MATCH($D85,'LCA | DB'!$G$1:$Y$1,0))</f>
        <v>3.341624472718619E-4</v>
      </c>
      <c r="D85" s="219" t="s">
        <v>22</v>
      </c>
      <c r="E85" s="219" t="s">
        <v>1645</v>
      </c>
      <c r="F85" s="219" t="s">
        <v>1660</v>
      </c>
    </row>
    <row r="86" spans="1:6">
      <c r="A86" s="219" t="s">
        <v>1700</v>
      </c>
      <c r="B86" s="219" t="s">
        <v>1703</v>
      </c>
      <c r="C86" s="220">
        <f>INDEX('LCA | DB'!$G$3:$Y1017,MATCH($F86,'LCA | DB'!$Z$3:$Z$1000,0),MATCH($D86,'LCA | DB'!$G$1:$Y$1,0))</f>
        <v>3.5168152536161098E-3</v>
      </c>
      <c r="D86" s="219" t="s">
        <v>33</v>
      </c>
      <c r="E86" s="219" t="s">
        <v>1646</v>
      </c>
      <c r="F86" s="219" t="s">
        <v>1660</v>
      </c>
    </row>
    <row r="87" spans="1:6">
      <c r="A87" s="219" t="s">
        <v>1700</v>
      </c>
      <c r="B87" s="219" t="s">
        <v>1704</v>
      </c>
      <c r="C87" s="220">
        <f>INDEX('LCA | DB'!$G$3:$Y1018,MATCH($F87,'LCA | DB'!$Z$3:$Z$1000,0),MATCH($D87,'LCA | DB'!$G$1:$Y$1,0))</f>
        <v>1.656220537253398E-4</v>
      </c>
      <c r="D87" s="219" t="s">
        <v>24</v>
      </c>
      <c r="E87" s="219" t="s">
        <v>1634</v>
      </c>
      <c r="F87" s="219" t="s">
        <v>1660</v>
      </c>
    </row>
    <row r="88" spans="1:6">
      <c r="A88" s="219" t="s">
        <v>1700</v>
      </c>
      <c r="B88" s="219" t="s">
        <v>1704</v>
      </c>
      <c r="C88" s="220">
        <f>INDEX('LCA | DB'!$G$3:$Y1019,MATCH($F88,'LCA | DB'!$Z$3:$Z$1000,0),MATCH($D88,'LCA | DB'!$G$1:$Y$1,0))</f>
        <v>0.52065355311488293</v>
      </c>
      <c r="D88" s="219" t="s">
        <v>32</v>
      </c>
      <c r="E88" s="219" t="s">
        <v>1635</v>
      </c>
      <c r="F88" s="219" t="s">
        <v>1660</v>
      </c>
    </row>
    <row r="89" spans="1:6">
      <c r="A89" s="219" t="s">
        <v>1700</v>
      </c>
      <c r="B89" s="219" t="s">
        <v>1704</v>
      </c>
      <c r="C89" s="220">
        <f>INDEX('LCA | DB'!$G$3:$Y1020,MATCH($F89,'LCA | DB'!$Z$3:$Z$1000,0),MATCH($D89,'LCA | DB'!$G$1:$Y$1,0))</f>
        <v>0.28676682683354182</v>
      </c>
      <c r="D89" s="219" t="s">
        <v>29</v>
      </c>
      <c r="E89" s="219" t="s">
        <v>1636</v>
      </c>
      <c r="F89" s="219" t="s">
        <v>1660</v>
      </c>
    </row>
    <row r="90" spans="1:6">
      <c r="A90" s="219" t="s">
        <v>1700</v>
      </c>
      <c r="B90" s="219" t="s">
        <v>1704</v>
      </c>
      <c r="C90" s="220">
        <f>INDEX('LCA | DB'!$G$3:$Y1021,MATCH($F90,'LCA | DB'!$Z$3:$Z$1000,0),MATCH($D90,'LCA | DB'!$G$1:$Y$1,0))</f>
        <v>0.37428544284909843</v>
      </c>
      <c r="D90" s="219" t="s">
        <v>21</v>
      </c>
      <c r="E90" s="219" t="s">
        <v>1636</v>
      </c>
      <c r="F90" s="219" t="s">
        <v>1660</v>
      </c>
    </row>
    <row r="91" spans="1:6">
      <c r="A91" s="219" t="s">
        <v>1700</v>
      </c>
      <c r="B91" s="219" t="s">
        <v>1704</v>
      </c>
      <c r="C91" s="220">
        <f>INDEX('LCA | DB'!$G$3:$Y1022,MATCH($F91,'LCA | DB'!$Z$3:$Z$1000,0),MATCH($D91,'LCA | DB'!$G$1:$Y$1,0))</f>
        <v>1.248143049522473</v>
      </c>
      <c r="D91" s="219" t="s">
        <v>34</v>
      </c>
      <c r="E91" s="219" t="s">
        <v>1636</v>
      </c>
      <c r="F91" s="219" t="s">
        <v>1660</v>
      </c>
    </row>
    <row r="92" spans="1:6">
      <c r="A92" s="219" t="s">
        <v>1700</v>
      </c>
      <c r="B92" s="219" t="s">
        <v>1704</v>
      </c>
      <c r="C92" s="220">
        <f>INDEX('LCA | DB'!$G$3:$Y1023,MATCH($F92,'LCA | DB'!$Z$3:$Z$1000,0),MATCH($D92,'LCA | DB'!$G$1:$Y$1,0))</f>
        <v>7.3925342706349382E-3</v>
      </c>
      <c r="D92" s="219" t="s">
        <v>31</v>
      </c>
      <c r="E92" s="219" t="s">
        <v>1637</v>
      </c>
      <c r="F92" s="219" t="s">
        <v>1660</v>
      </c>
    </row>
    <row r="93" spans="1:6">
      <c r="A93" s="219" t="s">
        <v>1700</v>
      </c>
      <c r="B93" s="219" t="s">
        <v>1704</v>
      </c>
      <c r="C93" s="220">
        <f>INDEX('LCA | DB'!$G$3:$Y1024,MATCH($F93,'LCA | DB'!$Z$3:$Z$1000,0),MATCH($D93,'LCA | DB'!$G$1:$Y$1,0))</f>
        <v>4.5865240474348952E-5</v>
      </c>
      <c r="D93" s="219" t="s">
        <v>23</v>
      </c>
      <c r="E93" s="219" t="s">
        <v>1638</v>
      </c>
      <c r="F93" s="219" t="s">
        <v>1660</v>
      </c>
    </row>
    <row r="94" spans="1:6">
      <c r="A94" s="219" t="s">
        <v>1700</v>
      </c>
      <c r="B94" s="219" t="s">
        <v>1704</v>
      </c>
      <c r="C94" s="220">
        <f>INDEX('LCA | DB'!$G$3:$Y1025,MATCH($F94,'LCA | DB'!$Z$3:$Z$1000,0),MATCH($D94,'LCA | DB'!$G$1:$Y$1,0))</f>
        <v>1.128692562679523E-5</v>
      </c>
      <c r="D94" s="219" t="s">
        <v>19</v>
      </c>
      <c r="E94" s="219" t="s">
        <v>1639</v>
      </c>
      <c r="F94" s="219" t="s">
        <v>1660</v>
      </c>
    </row>
    <row r="95" spans="1:6">
      <c r="A95" s="219" t="s">
        <v>1700</v>
      </c>
      <c r="B95" s="219" t="s">
        <v>1704</v>
      </c>
      <c r="C95" s="220">
        <f>INDEX('LCA | DB'!$G$3:$Y1026,MATCH($F95,'LCA | DB'!$Z$3:$Z$1000,0),MATCH($D95,'LCA | DB'!$G$1:$Y$1,0))</f>
        <v>8.6162683893615782E-2</v>
      </c>
      <c r="D95" s="219" t="s">
        <v>28</v>
      </c>
      <c r="E95" s="219" t="s">
        <v>1636</v>
      </c>
      <c r="F95" s="219" t="s">
        <v>1660</v>
      </c>
    </row>
    <row r="96" spans="1:6">
      <c r="A96" s="219" t="s">
        <v>1700</v>
      </c>
      <c r="B96" s="219" t="s">
        <v>1704</v>
      </c>
      <c r="C96" s="220">
        <f>INDEX('LCA | DB'!$G$3:$Y1027,MATCH($F96,'LCA | DB'!$Z$3:$Z$1000,0),MATCH($D96,'LCA | DB'!$G$1:$Y$1,0))</f>
        <v>5.461960289218184</v>
      </c>
      <c r="D96" s="219" t="s">
        <v>30</v>
      </c>
      <c r="E96" s="219" t="s">
        <v>1636</v>
      </c>
      <c r="F96" s="219" t="s">
        <v>1660</v>
      </c>
    </row>
    <row r="97" spans="1:6">
      <c r="A97" s="219" t="s">
        <v>1700</v>
      </c>
      <c r="B97" s="219" t="s">
        <v>1704</v>
      </c>
      <c r="C97" s="220">
        <f>INDEX('LCA | DB'!$G$3:$Y1028,MATCH($F97,'LCA | DB'!$Z$3:$Z$1000,0),MATCH($D97,'LCA | DB'!$G$1:$Y$1,0))</f>
        <v>4.1425588641865141E-4</v>
      </c>
      <c r="D97" s="219" t="s">
        <v>20</v>
      </c>
      <c r="E97" s="219" t="s">
        <v>1640</v>
      </c>
      <c r="F97" s="219" t="s">
        <v>1660</v>
      </c>
    </row>
    <row r="98" spans="1:6">
      <c r="A98" s="219" t="s">
        <v>1700</v>
      </c>
      <c r="B98" s="219" t="s">
        <v>1704</v>
      </c>
      <c r="C98" s="220">
        <f>INDEX('LCA | DB'!$G$3:$Y1029,MATCH($F98,'LCA | DB'!$Z$3:$Z$1000,0),MATCH($D98,'LCA | DB'!$G$1:$Y$1,0))</f>
        <v>1.257222777163594E-3</v>
      </c>
      <c r="D98" s="219" t="s">
        <v>26</v>
      </c>
      <c r="E98" s="219" t="s">
        <v>1641</v>
      </c>
      <c r="F98" s="219" t="s">
        <v>1660</v>
      </c>
    </row>
    <row r="99" spans="1:6">
      <c r="A99" s="219" t="s">
        <v>1700</v>
      </c>
      <c r="B99" s="219" t="s">
        <v>1704</v>
      </c>
      <c r="C99" s="220">
        <f>INDEX('LCA | DB'!$G$3:$Y1030,MATCH($F99,'LCA | DB'!$Z$3:$Z$1000,0),MATCH($D99,'LCA | DB'!$G$1:$Y$1,0))</f>
        <v>1.269380754903695E-3</v>
      </c>
      <c r="D99" s="219" t="s">
        <v>25</v>
      </c>
      <c r="E99" s="219" t="s">
        <v>1642</v>
      </c>
      <c r="F99" s="219" t="s">
        <v>1660</v>
      </c>
    </row>
    <row r="100" spans="1:6">
      <c r="A100" s="219" t="s">
        <v>1700</v>
      </c>
      <c r="B100" s="219" t="s">
        <v>1704</v>
      </c>
      <c r="C100" s="220">
        <f>INDEX('LCA | DB'!$G$3:$Y1031,MATCH($F100,'LCA | DB'!$Z$3:$Z$1000,0),MATCH($D100,'LCA | DB'!$G$1:$Y$1,0))</f>
        <v>5.1975192510958624E-7</v>
      </c>
      <c r="D100" s="219" t="s">
        <v>16</v>
      </c>
      <c r="E100" s="219" t="s">
        <v>1643</v>
      </c>
      <c r="F100" s="219" t="s">
        <v>1660</v>
      </c>
    </row>
    <row r="101" spans="1:6">
      <c r="A101" s="219" t="s">
        <v>1700</v>
      </c>
      <c r="B101" s="219" t="s">
        <v>1704</v>
      </c>
      <c r="C101" s="220">
        <f>INDEX('LCA | DB'!$G$3:$Y1032,MATCH($F101,'LCA | DB'!$Z$3:$Z$1000,0),MATCH($D101,'LCA | DB'!$G$1:$Y$1,0))</f>
        <v>6.3682704737241184E-5</v>
      </c>
      <c r="D101" s="219" t="s">
        <v>27</v>
      </c>
      <c r="E101" s="219" t="s">
        <v>1644</v>
      </c>
      <c r="F101" s="219" t="s">
        <v>1660</v>
      </c>
    </row>
    <row r="102" spans="1:6">
      <c r="A102" s="219" t="s">
        <v>1700</v>
      </c>
      <c r="B102" s="219" t="s">
        <v>1704</v>
      </c>
      <c r="C102" s="220">
        <f>INDEX('LCA | DB'!$G$3:$Y1033,MATCH($F102,'LCA | DB'!$Z$3:$Z$1000,0),MATCH($D102,'LCA | DB'!$G$1:$Y$1,0))</f>
        <v>3.3053305304327169E-4</v>
      </c>
      <c r="D102" s="219" t="s">
        <v>18</v>
      </c>
      <c r="E102" s="219" t="s">
        <v>1645</v>
      </c>
      <c r="F102" s="219" t="s">
        <v>1660</v>
      </c>
    </row>
    <row r="103" spans="1:6">
      <c r="A103" s="219" t="s">
        <v>1700</v>
      </c>
      <c r="B103" s="219" t="s">
        <v>1704</v>
      </c>
      <c r="C103" s="220">
        <f>INDEX('LCA | DB'!$G$3:$Y1034,MATCH($F103,'LCA | DB'!$Z$3:$Z$1000,0),MATCH($D103,'LCA | DB'!$G$1:$Y$1,0))</f>
        <v>3.341624472718619E-4</v>
      </c>
      <c r="D103" s="219" t="s">
        <v>22</v>
      </c>
      <c r="E103" s="219" t="s">
        <v>1645</v>
      </c>
      <c r="F103" s="219" t="s">
        <v>1660</v>
      </c>
    </row>
    <row r="104" spans="1:6">
      <c r="A104" s="219" t="s">
        <v>1700</v>
      </c>
      <c r="B104" s="219" t="s">
        <v>1704</v>
      </c>
      <c r="C104" s="220">
        <f>INDEX('LCA | DB'!$G$3:$Y1035,MATCH($F104,'LCA | DB'!$Z$3:$Z$1000,0),MATCH($D104,'LCA | DB'!$G$1:$Y$1,0))</f>
        <v>3.5168152536161098E-3</v>
      </c>
      <c r="D104" s="219" t="s">
        <v>33</v>
      </c>
      <c r="E104" s="219" t="s">
        <v>1646</v>
      </c>
      <c r="F104" s="219" t="s">
        <v>1660</v>
      </c>
    </row>
    <row r="105" spans="1:6">
      <c r="A105" s="219" t="s">
        <v>1593</v>
      </c>
      <c r="B105" s="219" t="s">
        <v>1705</v>
      </c>
      <c r="C105" s="220">
        <v>10000</v>
      </c>
      <c r="D105" s="219" t="s">
        <v>26</v>
      </c>
      <c r="E105" s="219" t="s">
        <v>1641</v>
      </c>
      <c r="F105" s="219" t="s">
        <v>1672</v>
      </c>
    </row>
    <row r="106" spans="1:6">
      <c r="A106" s="219" t="s">
        <v>1706</v>
      </c>
      <c r="B106" s="219" t="s">
        <v>1707</v>
      </c>
      <c r="C106" s="220">
        <v>1</v>
      </c>
      <c r="D106" s="219" t="s">
        <v>27</v>
      </c>
      <c r="E106" s="219" t="s">
        <v>1644</v>
      </c>
      <c r="F106" s="219" t="s">
        <v>1672</v>
      </c>
    </row>
    <row r="107" spans="1:6">
      <c r="A107" s="219" t="s">
        <v>1706</v>
      </c>
      <c r="B107" s="219" t="s">
        <v>1696</v>
      </c>
      <c r="C107" s="220">
        <v>0.28999999999999998</v>
      </c>
      <c r="D107" s="219" t="s">
        <v>27</v>
      </c>
      <c r="E107" s="219" t="s">
        <v>1644</v>
      </c>
      <c r="F107" s="219" t="s">
        <v>1672</v>
      </c>
    </row>
    <row r="108" spans="1:6">
      <c r="A108" s="219" t="s">
        <v>1706</v>
      </c>
      <c r="B108" s="219" t="s">
        <v>1693</v>
      </c>
      <c r="C108" s="220">
        <v>0.11</v>
      </c>
      <c r="D108" s="219" t="s">
        <v>27</v>
      </c>
      <c r="E108" s="219" t="s">
        <v>1644</v>
      </c>
      <c r="F108" s="219" t="s">
        <v>1672</v>
      </c>
    </row>
    <row r="109" spans="1:6">
      <c r="A109" s="219" t="s">
        <v>1706</v>
      </c>
      <c r="B109" s="219" t="s">
        <v>1699</v>
      </c>
      <c r="C109" s="220">
        <v>0.24</v>
      </c>
      <c r="D109" s="219" t="s">
        <v>27</v>
      </c>
      <c r="E109" s="219" t="s">
        <v>1644</v>
      </c>
      <c r="F109" s="219" t="s">
        <v>1672</v>
      </c>
    </row>
    <row r="110" spans="1:6">
      <c r="A110" s="219" t="s">
        <v>1708</v>
      </c>
      <c r="B110" s="219" t="s">
        <v>1709</v>
      </c>
      <c r="C110" s="220">
        <v>1</v>
      </c>
      <c r="D110" s="219" t="s">
        <v>32</v>
      </c>
      <c r="E110" s="219" t="s">
        <v>1635</v>
      </c>
      <c r="F110" s="219" t="s">
        <v>1672</v>
      </c>
    </row>
    <row r="111" spans="1:6">
      <c r="A111" s="219" t="s">
        <v>1710</v>
      </c>
      <c r="B111" s="219" t="s">
        <v>1711</v>
      </c>
      <c r="C111" s="220">
        <v>1</v>
      </c>
      <c r="D111" s="219" t="s">
        <v>282</v>
      </c>
      <c r="E111" s="219" t="s">
        <v>1712</v>
      </c>
      <c r="F111" s="219" t="s">
        <v>1672</v>
      </c>
    </row>
    <row r="112" spans="1:6">
      <c r="A112" s="219" t="s">
        <v>1713</v>
      </c>
      <c r="B112" s="219" t="s">
        <v>1714</v>
      </c>
      <c r="C112" s="220">
        <v>1</v>
      </c>
      <c r="D112" s="219" t="s">
        <v>33</v>
      </c>
      <c r="E112" s="219" t="s">
        <v>1646</v>
      </c>
      <c r="F112" s="219" t="s">
        <v>1672</v>
      </c>
    </row>
    <row r="113" spans="1:6">
      <c r="A113" s="219" t="s">
        <v>1715</v>
      </c>
      <c r="B113" s="219" t="s">
        <v>1716</v>
      </c>
      <c r="C113" s="220">
        <v>0.3</v>
      </c>
      <c r="D113" s="219" t="s">
        <v>19</v>
      </c>
      <c r="E113" s="219" t="s">
        <v>1639</v>
      </c>
      <c r="F113" s="219" t="s">
        <v>1672</v>
      </c>
    </row>
    <row r="114" spans="1:6">
      <c r="A114" s="219" t="s">
        <v>1715</v>
      </c>
      <c r="B114" s="219" t="s">
        <v>1717</v>
      </c>
      <c r="C114" s="220">
        <v>1</v>
      </c>
      <c r="D114" s="219" t="s">
        <v>23</v>
      </c>
      <c r="E114" s="219" t="s">
        <v>1638</v>
      </c>
      <c r="F114" s="219" t="s">
        <v>1672</v>
      </c>
    </row>
    <row r="115" spans="1:6">
      <c r="A115" s="219" t="s">
        <v>1987</v>
      </c>
      <c r="B115" s="219" t="s">
        <v>1925</v>
      </c>
      <c r="C115" s="220">
        <f>0.42*1000</f>
        <v>420</v>
      </c>
      <c r="D115" s="219" t="s">
        <v>31</v>
      </c>
      <c r="E115" s="219" t="s">
        <v>1637</v>
      </c>
      <c r="F115" s="219" t="s">
        <v>1672</v>
      </c>
    </row>
    <row r="116" spans="1:6">
      <c r="A116" s="219" t="s">
        <v>1988</v>
      </c>
      <c r="B116" s="219" t="s">
        <v>1926</v>
      </c>
      <c r="C116" s="220">
        <f>0.84*1000000</f>
        <v>840000</v>
      </c>
      <c r="D116" s="219" t="s">
        <v>31</v>
      </c>
      <c r="E116" s="219" t="s">
        <v>1637</v>
      </c>
      <c r="F116" s="219" t="s">
        <v>1672</v>
      </c>
    </row>
    <row r="117" spans="1:6">
      <c r="A117" s="219" t="s">
        <v>1986</v>
      </c>
      <c r="B117" s="219" t="s">
        <v>1927</v>
      </c>
      <c r="C117" s="220">
        <v>1000</v>
      </c>
      <c r="D117" s="219" t="s">
        <v>31</v>
      </c>
      <c r="E117" s="219" t="s">
        <v>1637</v>
      </c>
      <c r="F117" s="219" t="s">
        <v>1672</v>
      </c>
    </row>
    <row r="118" spans="1:6">
      <c r="A118" s="219" t="s">
        <v>1986</v>
      </c>
      <c r="B118" s="219" t="s">
        <v>1928</v>
      </c>
      <c r="C118" s="220">
        <v>1000</v>
      </c>
      <c r="D118" s="219" t="s">
        <v>31</v>
      </c>
      <c r="E118" s="219" t="s">
        <v>1637</v>
      </c>
      <c r="F118" s="219" t="s">
        <v>1672</v>
      </c>
    </row>
    <row r="119" spans="1:6">
      <c r="A119" s="219" t="s">
        <v>1996</v>
      </c>
      <c r="B119" s="219" t="s">
        <v>1929</v>
      </c>
      <c r="C119" s="220">
        <f>1000*0.169339089019893</f>
        <v>169.33908901989301</v>
      </c>
      <c r="D119" s="219" t="s">
        <v>25</v>
      </c>
      <c r="E119" s="219" t="s">
        <v>1642</v>
      </c>
      <c r="F119" s="219" t="s">
        <v>1672</v>
      </c>
    </row>
    <row r="120" spans="1:6">
      <c r="A120" s="219" t="s">
        <v>1997</v>
      </c>
      <c r="B120" s="219" t="s">
        <v>1930</v>
      </c>
      <c r="C120" s="220">
        <f>1000*0.571852980827634</f>
        <v>571.85298082763404</v>
      </c>
      <c r="D120" s="219" t="s">
        <v>25</v>
      </c>
      <c r="E120" s="219" t="s">
        <v>1642</v>
      </c>
      <c r="F120" s="219" t="s">
        <v>1672</v>
      </c>
    </row>
    <row r="121" spans="1:6">
      <c r="A121" s="219" t="s">
        <v>1998</v>
      </c>
      <c r="B121" s="219" t="s">
        <v>1931</v>
      </c>
      <c r="C121" s="220">
        <f>1000*0.130982246332352</f>
        <v>130.98224633235199</v>
      </c>
      <c r="D121" s="219" t="s">
        <v>25</v>
      </c>
      <c r="E121" s="219" t="s">
        <v>1642</v>
      </c>
      <c r="F121" s="219" t="s">
        <v>1672</v>
      </c>
    </row>
    <row r="122" spans="1:6">
      <c r="A122" s="219" t="s">
        <v>1672</v>
      </c>
      <c r="B122" s="219" t="s">
        <v>1932</v>
      </c>
      <c r="C122" s="220">
        <v>0</v>
      </c>
      <c r="D122" s="219" t="s">
        <v>25</v>
      </c>
      <c r="E122" s="219" t="s">
        <v>1642</v>
      </c>
      <c r="F122" s="219" t="s">
        <v>1672</v>
      </c>
    </row>
    <row r="123" spans="1:6">
      <c r="A123" s="219" t="s">
        <v>1672</v>
      </c>
      <c r="B123" s="219" t="s">
        <v>1933</v>
      </c>
      <c r="C123" s="220">
        <v>0</v>
      </c>
      <c r="D123" s="219" t="s">
        <v>25</v>
      </c>
      <c r="E123" s="219" t="s">
        <v>1642</v>
      </c>
      <c r="F123" s="219" t="s">
        <v>1672</v>
      </c>
    </row>
    <row r="124" spans="1:6">
      <c r="A124" s="219" t="s">
        <v>1989</v>
      </c>
      <c r="B124" s="219" t="s">
        <v>1934</v>
      </c>
      <c r="C124" s="220">
        <f>1000*0.00457760470762882</f>
        <v>4.5776047076288204</v>
      </c>
      <c r="D124" s="219" t="s">
        <v>25</v>
      </c>
      <c r="E124" s="219" t="s">
        <v>1642</v>
      </c>
      <c r="F124" s="219" t="s">
        <v>1672</v>
      </c>
    </row>
    <row r="125" spans="1:6">
      <c r="A125" s="219" t="s">
        <v>1990</v>
      </c>
      <c r="B125" s="219" t="s">
        <v>1935</v>
      </c>
      <c r="C125" s="220">
        <f>1000*0.0108062328272951</f>
        <v>10.8062328272951</v>
      </c>
      <c r="D125" s="219" t="s">
        <v>25</v>
      </c>
      <c r="E125" s="219" t="s">
        <v>1642</v>
      </c>
      <c r="F125" s="219" t="s">
        <v>1672</v>
      </c>
    </row>
    <row r="126" spans="1:6">
      <c r="A126" s="219" t="s">
        <v>1672</v>
      </c>
      <c r="B126" s="219" t="s">
        <v>1936</v>
      </c>
      <c r="C126" s="220">
        <v>0</v>
      </c>
      <c r="D126" s="219" t="s">
        <v>25</v>
      </c>
      <c r="E126" s="219" t="s">
        <v>1642</v>
      </c>
      <c r="F126" s="219" t="s">
        <v>1672</v>
      </c>
    </row>
    <row r="127" spans="1:6">
      <c r="A127" s="219" t="s">
        <v>2002</v>
      </c>
      <c r="B127" s="219" t="s">
        <v>1937</v>
      </c>
      <c r="C127" s="220">
        <f>1000*3.20296892273182</f>
        <v>3202.9689227318199</v>
      </c>
      <c r="D127" s="219" t="s">
        <v>25</v>
      </c>
      <c r="E127" s="219" t="s">
        <v>1642</v>
      </c>
      <c r="F127" s="219" t="s">
        <v>1672</v>
      </c>
    </row>
    <row r="128" spans="1:6">
      <c r="A128" s="219" t="s">
        <v>2001</v>
      </c>
      <c r="B128" s="219" t="s">
        <v>1938</v>
      </c>
      <c r="C128" s="220">
        <f>1000*0.115646202767</f>
        <v>115.64620276699999</v>
      </c>
      <c r="D128" s="219" t="s">
        <v>25</v>
      </c>
      <c r="E128" s="219" t="s">
        <v>1642</v>
      </c>
      <c r="F128" s="219" t="s">
        <v>1672</v>
      </c>
    </row>
    <row r="129" spans="1:6">
      <c r="A129" s="219" t="s">
        <v>2000</v>
      </c>
      <c r="B129" s="219" t="s">
        <v>1939</v>
      </c>
      <c r="C129" s="220">
        <f>1000*0.320051690333839</f>
        <v>320.05169033383902</v>
      </c>
      <c r="D129" s="219" t="s">
        <v>25</v>
      </c>
      <c r="E129" s="219" t="s">
        <v>1642</v>
      </c>
      <c r="F129" s="219" t="s">
        <v>1672</v>
      </c>
    </row>
    <row r="130" spans="1:6">
      <c r="A130" s="219" t="s">
        <v>1999</v>
      </c>
      <c r="B130" s="219" t="s">
        <v>1940</v>
      </c>
      <c r="C130" s="220">
        <f>1000*0.0950637255933902</f>
        <v>95.063725593390203</v>
      </c>
      <c r="D130" s="219" t="s">
        <v>25</v>
      </c>
      <c r="E130" s="219" t="s">
        <v>1642</v>
      </c>
      <c r="F130" s="219" t="s">
        <v>1672</v>
      </c>
    </row>
    <row r="131" spans="1:6">
      <c r="A131" s="219" t="s">
        <v>1994</v>
      </c>
      <c r="B131" s="219" t="s">
        <v>1941</v>
      </c>
      <c r="C131" s="220">
        <f>1000*6.56672820974109</f>
        <v>6566.7282097410898</v>
      </c>
      <c r="D131" s="219" t="s">
        <v>25</v>
      </c>
      <c r="E131" s="219" t="s">
        <v>1642</v>
      </c>
      <c r="F131" s="219" t="s">
        <v>1672</v>
      </c>
    </row>
    <row r="132" spans="1:6">
      <c r="A132" s="219" t="s">
        <v>1995</v>
      </c>
      <c r="B132" s="219" t="s">
        <v>1942</v>
      </c>
      <c r="C132" s="220">
        <f>1000</f>
        <v>1000</v>
      </c>
      <c r="D132" s="219" t="s">
        <v>25</v>
      </c>
      <c r="E132" s="219" t="s">
        <v>1642</v>
      </c>
      <c r="F132" s="219" t="s">
        <v>1672</v>
      </c>
    </row>
    <row r="133" spans="1:6">
      <c r="A133" s="219" t="s">
        <v>1993</v>
      </c>
      <c r="B133" s="219" t="s">
        <v>1943</v>
      </c>
      <c r="C133" s="220">
        <f>1000*91.5200284729551</f>
        <v>91520.028472955106</v>
      </c>
      <c r="D133" s="219" t="s">
        <v>25</v>
      </c>
      <c r="E133" s="219" t="s">
        <v>1642</v>
      </c>
      <c r="F133" s="219" t="s">
        <v>1672</v>
      </c>
    </row>
    <row r="134" spans="1:6">
      <c r="A134" s="219" t="s">
        <v>1991</v>
      </c>
      <c r="B134" s="219" t="s">
        <v>1944</v>
      </c>
      <c r="C134" s="220">
        <f>1000*0.0488106927388808</f>
        <v>48.810692738880796</v>
      </c>
      <c r="D134" s="219" t="s">
        <v>25</v>
      </c>
      <c r="E134" s="219" t="s">
        <v>1642</v>
      </c>
      <c r="F134" s="219" t="s">
        <v>1672</v>
      </c>
    </row>
    <row r="135" spans="1:6">
      <c r="A135" s="219" t="s">
        <v>1992</v>
      </c>
      <c r="B135" s="219" t="s">
        <v>1945</v>
      </c>
      <c r="C135" s="220">
        <f>1000*0.0154202690941592</f>
        <v>15.420269094159201</v>
      </c>
      <c r="D135" s="219" t="s">
        <v>25</v>
      </c>
      <c r="E135" s="219" t="s">
        <v>1642</v>
      </c>
      <c r="F135" s="219" t="s">
        <v>1672</v>
      </c>
    </row>
    <row r="136" spans="1:6">
      <c r="A136" s="219" t="s">
        <v>1672</v>
      </c>
      <c r="B136" s="219" t="s">
        <v>1946</v>
      </c>
      <c r="C136" s="220">
        <v>0</v>
      </c>
      <c r="D136" s="219" t="s">
        <v>25</v>
      </c>
      <c r="E136" s="219" t="s">
        <v>1642</v>
      </c>
      <c r="F136" s="219" t="s">
        <v>1672</v>
      </c>
    </row>
    <row r="137" spans="1:6">
      <c r="A137" s="219" t="s">
        <v>2003</v>
      </c>
      <c r="B137" s="219" t="s">
        <v>1947</v>
      </c>
      <c r="C137" s="220">
        <f>1000*83.8352455839296</f>
        <v>83835.245583929602</v>
      </c>
      <c r="D137" s="219" t="s">
        <v>25</v>
      </c>
      <c r="E137" s="219" t="s">
        <v>1642</v>
      </c>
      <c r="F137" s="219" t="s">
        <v>1672</v>
      </c>
    </row>
    <row r="138" spans="1:6">
      <c r="A138" s="219" t="s">
        <v>2004</v>
      </c>
      <c r="B138" s="219" t="s">
        <v>1948</v>
      </c>
      <c r="C138" s="220">
        <f>1000*317.445214075795</f>
        <v>317445.21407579497</v>
      </c>
      <c r="D138" s="219" t="s">
        <v>25</v>
      </c>
      <c r="E138" s="219" t="s">
        <v>1642</v>
      </c>
      <c r="F138" s="219" t="s">
        <v>1672</v>
      </c>
    </row>
    <row r="139" spans="1:6">
      <c r="A139" s="219" t="s">
        <v>2005</v>
      </c>
      <c r="B139" s="219" t="s">
        <v>1949</v>
      </c>
      <c r="C139" s="220">
        <f>1000*3734.14940013495</f>
        <v>3734149.4001349499</v>
      </c>
      <c r="D139" s="219" t="s">
        <v>25</v>
      </c>
      <c r="E139" s="219" t="s">
        <v>1642</v>
      </c>
      <c r="F139" s="219" t="s">
        <v>1672</v>
      </c>
    </row>
    <row r="140" spans="1:6">
      <c r="A140" s="219" t="s">
        <v>2006</v>
      </c>
      <c r="B140" s="219" t="s">
        <v>1950</v>
      </c>
      <c r="C140" s="220">
        <f>1000*0.191664949513021</f>
        <v>191.66494951302099</v>
      </c>
      <c r="D140" s="219" t="s">
        <v>25</v>
      </c>
      <c r="E140" s="219" t="s">
        <v>1642</v>
      </c>
      <c r="F140" s="219" t="s">
        <v>1672</v>
      </c>
    </row>
    <row r="141" spans="1:6">
      <c r="A141" s="219" t="s">
        <v>2007</v>
      </c>
      <c r="B141" s="219" t="s">
        <v>1951</v>
      </c>
      <c r="C141" s="220">
        <f>1000*0.00282933935168371</f>
        <v>2.8293393516837102</v>
      </c>
      <c r="D141" s="219" t="s">
        <v>25</v>
      </c>
      <c r="E141" s="219" t="s">
        <v>1642</v>
      </c>
      <c r="F141" s="219" t="s">
        <v>1672</v>
      </c>
    </row>
    <row r="142" spans="1:6">
      <c r="A142" s="219" t="s">
        <v>2008</v>
      </c>
      <c r="B142" s="219" t="s">
        <v>1952</v>
      </c>
      <c r="C142" s="220">
        <f>1000*102.713461466315</f>
        <v>102713.461466315</v>
      </c>
      <c r="D142" s="219" t="s">
        <v>25</v>
      </c>
      <c r="E142" s="219" t="s">
        <v>1642</v>
      </c>
      <c r="F142" s="219" t="s">
        <v>1672</v>
      </c>
    </row>
    <row r="143" spans="1:6">
      <c r="A143" s="219" t="s">
        <v>2009</v>
      </c>
      <c r="B143" s="219" t="s">
        <v>1953</v>
      </c>
      <c r="C143" s="220">
        <f>1000*0.0619365912803626</f>
        <v>61.936591280362599</v>
      </c>
      <c r="D143" s="219" t="s">
        <v>25</v>
      </c>
      <c r="E143" s="219" t="s">
        <v>1642</v>
      </c>
      <c r="F143" s="219" t="s">
        <v>1672</v>
      </c>
    </row>
    <row r="144" spans="1:6">
      <c r="A144" s="219" t="s">
        <v>2010</v>
      </c>
      <c r="B144" s="219" t="s">
        <v>1954</v>
      </c>
      <c r="C144" s="220">
        <f>1000*0.024483023838654</f>
        <v>24.483023838653999</v>
      </c>
      <c r="D144" s="219" t="s">
        <v>25</v>
      </c>
      <c r="E144" s="219" t="s">
        <v>1642</v>
      </c>
      <c r="F144" s="219" t="s">
        <v>1672</v>
      </c>
    </row>
    <row r="145" spans="1:6">
      <c r="A145" s="219" t="s">
        <v>2011</v>
      </c>
      <c r="B145" s="219" t="s">
        <v>1955</v>
      </c>
      <c r="C145" s="220">
        <f>1000*0.490962826915213</f>
        <v>490.96282691521299</v>
      </c>
      <c r="D145" s="219" t="s">
        <v>25</v>
      </c>
      <c r="E145" s="219" t="s">
        <v>1642</v>
      </c>
      <c r="F145" s="219" t="s">
        <v>1672</v>
      </c>
    </row>
    <row r="146" spans="1:6">
      <c r="A146" s="219" t="s">
        <v>1672</v>
      </c>
      <c r="B146" s="219" t="s">
        <v>1956</v>
      </c>
      <c r="C146" s="220">
        <v>0</v>
      </c>
      <c r="D146" s="219" t="s">
        <v>25</v>
      </c>
      <c r="E146" s="219" t="s">
        <v>1642</v>
      </c>
      <c r="F146" s="219" t="s">
        <v>1672</v>
      </c>
    </row>
    <row r="147" spans="1:6">
      <c r="A147" s="219" t="s">
        <v>2012</v>
      </c>
      <c r="B147" s="219" t="s">
        <v>1957</v>
      </c>
      <c r="C147" s="220">
        <f>1000*4.85921350167749</f>
        <v>4859.2135016774901</v>
      </c>
      <c r="D147" s="219" t="s">
        <v>25</v>
      </c>
      <c r="E147" s="219" t="s">
        <v>1642</v>
      </c>
      <c r="F147" s="219" t="s">
        <v>1672</v>
      </c>
    </row>
    <row r="148" spans="1:6">
      <c r="A148" s="219" t="s">
        <v>1672</v>
      </c>
      <c r="B148" s="219" t="s">
        <v>1958</v>
      </c>
      <c r="C148" s="220">
        <v>0</v>
      </c>
      <c r="D148" s="219" t="s">
        <v>25</v>
      </c>
      <c r="E148" s="219" t="s">
        <v>1642</v>
      </c>
      <c r="F148" s="219" t="s">
        <v>1672</v>
      </c>
    </row>
    <row r="149" spans="1:6">
      <c r="A149" s="219" t="s">
        <v>2013</v>
      </c>
      <c r="B149" s="219" t="s">
        <v>1959</v>
      </c>
      <c r="C149" s="220">
        <f>1000*0.082272195976166</f>
        <v>82.272195976166003</v>
      </c>
      <c r="D149" s="219" t="s">
        <v>25</v>
      </c>
      <c r="E149" s="219" t="s">
        <v>1642</v>
      </c>
      <c r="F149" s="219" t="s">
        <v>1672</v>
      </c>
    </row>
    <row r="150" spans="1:6">
      <c r="A150" s="219" t="s">
        <v>2014</v>
      </c>
      <c r="B150" s="219" t="s">
        <v>1960</v>
      </c>
      <c r="C150" s="220">
        <f>1000*8.96136868324405</f>
        <v>8961.3686832440508</v>
      </c>
      <c r="D150" s="219" t="s">
        <v>25</v>
      </c>
      <c r="E150" s="219" t="s">
        <v>1642</v>
      </c>
      <c r="F150" s="219" t="s">
        <v>1672</v>
      </c>
    </row>
    <row r="151" spans="1:6">
      <c r="A151" s="219" t="s">
        <v>2015</v>
      </c>
      <c r="B151" s="219" t="s">
        <v>1961</v>
      </c>
      <c r="C151" s="220">
        <f>1000*29.225808035484</f>
        <v>29225.808035484002</v>
      </c>
      <c r="D151" s="219" t="s">
        <v>25</v>
      </c>
      <c r="E151" s="219" t="s">
        <v>1642</v>
      </c>
      <c r="F151" s="219" t="s">
        <v>1672</v>
      </c>
    </row>
    <row r="152" spans="1:6">
      <c r="A152" s="219" t="s">
        <v>2016</v>
      </c>
      <c r="B152" s="219" t="s">
        <v>1962</v>
      </c>
      <c r="C152" s="220">
        <f>1000*2.89235356803744</f>
        <v>2892.3535680374403</v>
      </c>
      <c r="D152" s="219" t="s">
        <v>25</v>
      </c>
      <c r="E152" s="219" t="s">
        <v>1642</v>
      </c>
      <c r="F152" s="219" t="s">
        <v>1672</v>
      </c>
    </row>
    <row r="153" spans="1:6">
      <c r="A153" s="219" t="s">
        <v>2017</v>
      </c>
      <c r="B153" s="219" t="s">
        <v>1963</v>
      </c>
      <c r="C153" s="220">
        <f>1000*5.20359401648395</f>
        <v>5203.5940164839503</v>
      </c>
      <c r="D153" s="219" t="s">
        <v>25</v>
      </c>
      <c r="E153" s="219" t="s">
        <v>1642</v>
      </c>
      <c r="F153" s="219" t="s">
        <v>1672</v>
      </c>
    </row>
    <row r="154" spans="1:6">
      <c r="A154" s="219" t="s">
        <v>2018</v>
      </c>
      <c r="B154" s="219" t="s">
        <v>1964</v>
      </c>
      <c r="C154" s="220">
        <f>1000*4276.73206896459</f>
        <v>4276732.0689645903</v>
      </c>
      <c r="D154" s="219" t="s">
        <v>25</v>
      </c>
      <c r="E154" s="219" t="s">
        <v>1642</v>
      </c>
      <c r="F154" s="219" t="s">
        <v>1672</v>
      </c>
    </row>
    <row r="155" spans="1:6">
      <c r="A155" s="219" t="s">
        <v>2019</v>
      </c>
      <c r="B155" s="219" t="s">
        <v>1965</v>
      </c>
      <c r="C155" s="220">
        <f>1000*0.00915732030515992</f>
        <v>9.1573203051599208</v>
      </c>
      <c r="D155" s="219" t="s">
        <v>25</v>
      </c>
      <c r="E155" s="219" t="s">
        <v>1642</v>
      </c>
      <c r="F155" s="219" t="s">
        <v>1672</v>
      </c>
    </row>
    <row r="156" spans="1:6">
      <c r="A156" s="219" t="s">
        <v>1672</v>
      </c>
      <c r="B156" s="219" t="s">
        <v>1966</v>
      </c>
      <c r="C156" s="220">
        <v>0</v>
      </c>
      <c r="D156" s="219" t="s">
        <v>25</v>
      </c>
      <c r="E156" s="219" t="s">
        <v>1642</v>
      </c>
      <c r="F156" s="219" t="s">
        <v>1672</v>
      </c>
    </row>
    <row r="157" spans="1:6">
      <c r="A157" s="219" t="s">
        <v>2020</v>
      </c>
      <c r="B157" s="219" t="s">
        <v>1967</v>
      </c>
      <c r="C157" s="220">
        <f>1000*8767.58547871245</f>
        <v>8767585.4787124507</v>
      </c>
      <c r="D157" s="219" t="s">
        <v>25</v>
      </c>
      <c r="E157" s="219" t="s">
        <v>1642</v>
      </c>
      <c r="F157" s="219" t="s">
        <v>1672</v>
      </c>
    </row>
    <row r="158" spans="1:6">
      <c r="A158" s="219" t="s">
        <v>2021</v>
      </c>
      <c r="B158" s="219" t="s">
        <v>1968</v>
      </c>
      <c r="C158" s="220">
        <f>1000*0.103977923195677</f>
        <v>103.97792319567701</v>
      </c>
      <c r="D158" s="219" t="s">
        <v>25</v>
      </c>
      <c r="E158" s="219" t="s">
        <v>1642</v>
      </c>
      <c r="F158" s="219" t="s">
        <v>1672</v>
      </c>
    </row>
    <row r="159" spans="1:6">
      <c r="A159" s="219" t="s">
        <v>2022</v>
      </c>
      <c r="B159" s="219" t="s">
        <v>1969</v>
      </c>
      <c r="C159" s="220">
        <f>1000*3.18628125893464</f>
        <v>3186.2812589346399</v>
      </c>
      <c r="D159" s="219" t="s">
        <v>25</v>
      </c>
      <c r="E159" s="219" t="s">
        <v>1642</v>
      </c>
      <c r="F159" s="219" t="s">
        <v>1672</v>
      </c>
    </row>
    <row r="160" spans="1:6">
      <c r="A160" s="219" t="s">
        <v>2023</v>
      </c>
      <c r="B160" s="219" t="s">
        <v>1970</v>
      </c>
      <c r="C160" s="220">
        <f>1000*528.050852303408</f>
        <v>528050.85230340797</v>
      </c>
      <c r="D160" s="219" t="s">
        <v>25</v>
      </c>
      <c r="E160" s="219" t="s">
        <v>1642</v>
      </c>
      <c r="F160" s="219" t="s">
        <v>1672</v>
      </c>
    </row>
    <row r="161" spans="1:11">
      <c r="A161" s="219" t="s">
        <v>2024</v>
      </c>
      <c r="B161" s="219" t="s">
        <v>1971</v>
      </c>
      <c r="C161" s="220">
        <f>1000*6340.7007632077</f>
        <v>6340700.7632077001</v>
      </c>
      <c r="D161" s="219" t="s">
        <v>25</v>
      </c>
      <c r="E161" s="219" t="s">
        <v>1642</v>
      </c>
      <c r="F161" s="219" t="s">
        <v>1672</v>
      </c>
    </row>
    <row r="162" spans="1:11">
      <c r="A162" s="219" t="s">
        <v>1672</v>
      </c>
      <c r="B162" s="219" t="s">
        <v>1972</v>
      </c>
      <c r="C162" s="220">
        <v>0</v>
      </c>
      <c r="D162" s="219" t="s">
        <v>25</v>
      </c>
      <c r="E162" s="219" t="s">
        <v>1642</v>
      </c>
      <c r="F162" s="219" t="s">
        <v>1672</v>
      </c>
    </row>
    <row r="163" spans="1:11">
      <c r="A163" s="219" t="s">
        <v>2025</v>
      </c>
      <c r="B163" s="219" t="s">
        <v>1973</v>
      </c>
      <c r="C163" s="220">
        <f>1000*13.3019532265887</f>
        <v>13301.953226588701</v>
      </c>
      <c r="D163" s="219" t="s">
        <v>25</v>
      </c>
      <c r="E163" s="219" t="s">
        <v>1642</v>
      </c>
      <c r="F163" s="219" t="s">
        <v>1672</v>
      </c>
    </row>
    <row r="164" spans="1:11">
      <c r="A164" s="219" t="s">
        <v>2026</v>
      </c>
      <c r="B164" s="219" t="s">
        <v>1974</v>
      </c>
      <c r="C164" s="220">
        <f>1000*152.990575707171</f>
        <v>152990.575707171</v>
      </c>
      <c r="D164" s="219" t="s">
        <v>25</v>
      </c>
      <c r="E164" s="219" t="s">
        <v>1642</v>
      </c>
      <c r="F164" s="219" t="s">
        <v>1672</v>
      </c>
    </row>
    <row r="165" spans="1:11">
      <c r="A165" s="219" t="s">
        <v>1672</v>
      </c>
      <c r="B165" s="219" t="s">
        <v>1975</v>
      </c>
      <c r="C165" s="220">
        <v>0</v>
      </c>
      <c r="D165" s="219" t="s">
        <v>25</v>
      </c>
      <c r="E165" s="219" t="s">
        <v>1642</v>
      </c>
      <c r="F165" s="219" t="s">
        <v>1672</v>
      </c>
    </row>
    <row r="166" spans="1:11">
      <c r="A166" s="219" t="s">
        <v>2027</v>
      </c>
      <c r="B166" s="219" t="s">
        <v>1976</v>
      </c>
      <c r="C166" s="220">
        <f>1000*0.0378125827372361</f>
        <v>37.812582737236106</v>
      </c>
      <c r="D166" s="219" t="s">
        <v>25</v>
      </c>
      <c r="E166" s="219" t="s">
        <v>1642</v>
      </c>
      <c r="F166" s="219" t="s">
        <v>1672</v>
      </c>
    </row>
    <row r="167" spans="1:11">
      <c r="A167" s="219" t="s">
        <v>2028</v>
      </c>
      <c r="B167" s="219" t="s">
        <v>1977</v>
      </c>
      <c r="C167" s="220">
        <f>1000*18.6949480428366</f>
        <v>18694.948042836601</v>
      </c>
      <c r="D167" s="219" t="s">
        <v>25</v>
      </c>
      <c r="E167" s="219" t="s">
        <v>1642</v>
      </c>
      <c r="F167" s="219" t="s">
        <v>1672</v>
      </c>
    </row>
    <row r="168" spans="1:11">
      <c r="A168" s="219" t="s">
        <v>2029</v>
      </c>
      <c r="B168" s="219" t="s">
        <v>1978</v>
      </c>
      <c r="C168" s="220">
        <f>1000*5.02926127738427</f>
        <v>5029.2612773842702</v>
      </c>
      <c r="D168" s="219" t="s">
        <v>25</v>
      </c>
      <c r="E168" s="219" t="s">
        <v>1642</v>
      </c>
      <c r="F168" s="219" t="s">
        <v>1672</v>
      </c>
    </row>
    <row r="169" spans="1:11">
      <c r="A169" s="219" t="s">
        <v>2030</v>
      </c>
      <c r="B169" s="219" t="s">
        <v>1979</v>
      </c>
      <c r="C169" s="220">
        <f>1000*0.878770278277959</f>
        <v>878.77027827795894</v>
      </c>
      <c r="D169" s="219" t="s">
        <v>25</v>
      </c>
      <c r="E169" s="219" t="s">
        <v>1642</v>
      </c>
      <c r="F169" s="219" t="s">
        <v>1672</v>
      </c>
    </row>
    <row r="170" spans="1:11">
      <c r="A170" s="219" t="s">
        <v>2031</v>
      </c>
      <c r="B170" s="219" t="s">
        <v>1980</v>
      </c>
      <c r="C170" s="220">
        <f>1000*7.7761654426339</f>
        <v>7776.1654426339001</v>
      </c>
      <c r="D170" s="219" t="s">
        <v>25</v>
      </c>
      <c r="E170" s="219" t="s">
        <v>1642</v>
      </c>
      <c r="F170" s="219" t="s">
        <v>1672</v>
      </c>
    </row>
    <row r="171" spans="1:11">
      <c r="A171" s="219" t="s">
        <v>2032</v>
      </c>
      <c r="B171" s="219" t="s">
        <v>1981</v>
      </c>
      <c r="C171" s="220">
        <f>1000*25.2188723717273</f>
        <v>25218.872371727302</v>
      </c>
      <c r="D171" s="219" t="s">
        <v>25</v>
      </c>
      <c r="E171" s="219" t="s">
        <v>1642</v>
      </c>
      <c r="F171" s="219" t="s">
        <v>1672</v>
      </c>
    </row>
    <row r="172" spans="1:11">
      <c r="A172" s="219" t="s">
        <v>2033</v>
      </c>
      <c r="B172" s="219" t="s">
        <v>1982</v>
      </c>
      <c r="C172" s="220">
        <f>1000*3.97063052244076</f>
        <v>3970.6305224407597</v>
      </c>
      <c r="D172" s="219" t="s">
        <v>25</v>
      </c>
      <c r="E172" s="219" t="s">
        <v>1642</v>
      </c>
      <c r="F172" s="219" t="s">
        <v>1672</v>
      </c>
    </row>
    <row r="173" spans="1:11">
      <c r="A173" s="219" t="s">
        <v>1672</v>
      </c>
      <c r="B173" s="219" t="s">
        <v>1983</v>
      </c>
      <c r="C173" s="220">
        <v>0</v>
      </c>
      <c r="D173" s="219" t="s">
        <v>25</v>
      </c>
      <c r="E173" s="219" t="s">
        <v>1642</v>
      </c>
      <c r="F173" s="219" t="s">
        <v>1672</v>
      </c>
    </row>
    <row r="174" spans="1:11">
      <c r="A174" s="219" t="s">
        <v>2034</v>
      </c>
      <c r="B174" s="219" t="s">
        <v>1984</v>
      </c>
      <c r="C174" s="220">
        <f>1000*0.153471592381915</f>
        <v>153.471592381915</v>
      </c>
      <c r="D174" s="219" t="s">
        <v>25</v>
      </c>
      <c r="E174" s="219" t="s">
        <v>1642</v>
      </c>
      <c r="F174" s="219" t="s">
        <v>1672</v>
      </c>
    </row>
    <row r="175" spans="1:11">
      <c r="A175" s="219" t="s">
        <v>2035</v>
      </c>
      <c r="B175" s="219" t="s">
        <v>1985</v>
      </c>
      <c r="C175" s="220">
        <f>1000*0.174993137284967</f>
        <v>174.99313728496699</v>
      </c>
      <c r="D175" s="219" t="s">
        <v>25</v>
      </c>
      <c r="E175" s="219" t="s">
        <v>1642</v>
      </c>
      <c r="F175" s="219" t="s">
        <v>1672</v>
      </c>
    </row>
    <row r="176" spans="1:11" ht="15.6">
      <c r="D176"/>
      <c r="K176"/>
    </row>
    <row r="177" spans="2:11" ht="15.6">
      <c r="D177"/>
      <c r="K177"/>
    </row>
    <row r="178" spans="2:11" ht="15.6">
      <c r="B178"/>
      <c r="D178"/>
      <c r="K178"/>
    </row>
    <row r="179" spans="2:11" ht="15.6">
      <c r="B179"/>
      <c r="D179"/>
      <c r="K179"/>
    </row>
    <row r="180" spans="2:11" ht="15.6">
      <c r="B180"/>
      <c r="D180"/>
      <c r="K180"/>
    </row>
    <row r="181" spans="2:11" ht="15.6">
      <c r="B181"/>
      <c r="D181"/>
      <c r="K181"/>
    </row>
    <row r="182" spans="2:11" ht="15.6">
      <c r="B182"/>
      <c r="D182"/>
      <c r="K182"/>
    </row>
    <row r="183" spans="2:11" ht="15.6">
      <c r="B183"/>
      <c r="D183"/>
      <c r="K183"/>
    </row>
    <row r="184" spans="2:11" ht="15.6">
      <c r="B184"/>
      <c r="D184"/>
      <c r="K184"/>
    </row>
    <row r="185" spans="2:11" ht="15.6">
      <c r="B185"/>
      <c r="D185"/>
      <c r="K185"/>
    </row>
    <row r="186" spans="2:11" ht="15.6">
      <c r="B186"/>
      <c r="D186"/>
      <c r="K186"/>
    </row>
    <row r="187" spans="2:11" ht="15.6">
      <c r="B187"/>
      <c r="D187"/>
      <c r="K187"/>
    </row>
    <row r="188" spans="2:11" ht="15.6">
      <c r="B188"/>
      <c r="D188"/>
      <c r="K188"/>
    </row>
    <row r="189" spans="2:11" ht="15.6">
      <c r="B189"/>
      <c r="D189"/>
      <c r="K189"/>
    </row>
    <row r="190" spans="2:11" ht="15.6">
      <c r="B190"/>
      <c r="D190"/>
      <c r="K190"/>
    </row>
    <row r="191" spans="2:11" ht="15.6">
      <c r="B191"/>
      <c r="D191"/>
      <c r="K191"/>
    </row>
    <row r="192" spans="2:11" ht="15.6">
      <c r="B192"/>
      <c r="D192"/>
      <c r="K192"/>
    </row>
    <row r="193" spans="2:11" ht="15.6">
      <c r="B193"/>
      <c r="D193"/>
      <c r="K193"/>
    </row>
    <row r="194" spans="2:11" ht="15.6">
      <c r="B194"/>
      <c r="D194"/>
      <c r="K194"/>
    </row>
    <row r="195" spans="2:11" ht="15.6">
      <c r="B195"/>
      <c r="D195"/>
      <c r="K195"/>
    </row>
    <row r="196" spans="2:11" ht="15.6">
      <c r="B196"/>
      <c r="D196"/>
      <c r="K196"/>
    </row>
    <row r="197" spans="2:11" ht="15.6">
      <c r="B197"/>
      <c r="D197"/>
      <c r="K197"/>
    </row>
    <row r="198" spans="2:11" ht="15.6">
      <c r="B198"/>
      <c r="D198"/>
      <c r="K198"/>
    </row>
    <row r="199" spans="2:11" ht="15.6">
      <c r="B199"/>
      <c r="D199"/>
      <c r="K199"/>
    </row>
    <row r="200" spans="2:11" ht="15.6">
      <c r="B200"/>
      <c r="D200"/>
      <c r="K200"/>
    </row>
    <row r="201" spans="2:11" ht="15.6">
      <c r="B201"/>
      <c r="D201"/>
      <c r="K201"/>
    </row>
    <row r="202" spans="2:11" ht="15.6">
      <c r="B202"/>
      <c r="D202"/>
      <c r="K202"/>
    </row>
    <row r="203" spans="2:11" ht="15.6">
      <c r="B203"/>
      <c r="D203"/>
      <c r="K203"/>
    </row>
    <row r="204" spans="2:11" ht="15.6">
      <c r="B204"/>
      <c r="D204"/>
      <c r="K204"/>
    </row>
    <row r="205" spans="2:11" ht="15.6">
      <c r="B205"/>
      <c r="D205"/>
      <c r="K205"/>
    </row>
    <row r="206" spans="2:11" ht="15.6">
      <c r="B206"/>
      <c r="D206"/>
      <c r="K206"/>
    </row>
    <row r="207" spans="2:11" ht="15.6">
      <c r="B207"/>
      <c r="D207"/>
      <c r="K207"/>
    </row>
    <row r="208" spans="2:11" ht="15.6">
      <c r="B208"/>
      <c r="D208"/>
      <c r="K208"/>
    </row>
    <row r="209" spans="2:11" ht="15.6">
      <c r="B209"/>
      <c r="D209"/>
      <c r="K209"/>
    </row>
    <row r="210" spans="2:11" ht="15.6">
      <c r="B210"/>
      <c r="D210"/>
      <c r="K210"/>
    </row>
    <row r="211" spans="2:11" ht="15.6">
      <c r="B211"/>
      <c r="D211"/>
      <c r="K211"/>
    </row>
    <row r="212" spans="2:11" ht="15.6">
      <c r="B212"/>
      <c r="D212"/>
      <c r="K212"/>
    </row>
    <row r="213" spans="2:11" ht="15.6">
      <c r="B213"/>
      <c r="D213"/>
      <c r="K213"/>
    </row>
    <row r="214" spans="2:11" ht="15.6">
      <c r="B214"/>
      <c r="D214"/>
      <c r="K214"/>
    </row>
    <row r="215" spans="2:11" ht="15.6">
      <c r="B215"/>
      <c r="D215"/>
      <c r="K215"/>
    </row>
    <row r="216" spans="2:11" ht="15.6">
      <c r="B216"/>
      <c r="D216"/>
      <c r="K216"/>
    </row>
    <row r="217" spans="2:11" ht="15.6">
      <c r="B217"/>
      <c r="D217"/>
      <c r="K217"/>
    </row>
    <row r="218" spans="2:11" ht="15.6">
      <c r="B218"/>
      <c r="D218"/>
      <c r="K218"/>
    </row>
    <row r="219" spans="2:11" ht="15.6">
      <c r="B219"/>
      <c r="D219"/>
      <c r="K219"/>
    </row>
    <row r="220" spans="2:11" ht="15.6">
      <c r="B220"/>
      <c r="D220"/>
      <c r="K220"/>
    </row>
    <row r="221" spans="2:11" ht="15.6">
      <c r="B221"/>
      <c r="D221"/>
    </row>
    <row r="222" spans="2:11" ht="15.6">
      <c r="B222"/>
      <c r="D222"/>
    </row>
    <row r="223" spans="2:11" ht="15.6">
      <c r="B223"/>
      <c r="D223"/>
    </row>
    <row r="224" spans="2:11" ht="15.6">
      <c r="B224"/>
      <c r="D224"/>
    </row>
    <row r="225" spans="2:4" ht="15.6">
      <c r="B225"/>
      <c r="D225"/>
    </row>
    <row r="226" spans="2:4" ht="15.6">
      <c r="B226"/>
      <c r="D226"/>
    </row>
    <row r="227" spans="2:4" ht="15.6">
      <c r="B227"/>
      <c r="D227"/>
    </row>
    <row r="228" spans="2:4" ht="15.6">
      <c r="B228"/>
      <c r="D228"/>
    </row>
    <row r="229" spans="2:4" ht="15.6">
      <c r="B229"/>
      <c r="D229"/>
    </row>
    <row r="230" spans="2:4" ht="15.6">
      <c r="B230"/>
      <c r="D230"/>
    </row>
    <row r="231" spans="2:4" ht="15.6">
      <c r="B231"/>
      <c r="D231"/>
    </row>
    <row r="232" spans="2:4" ht="15.6">
      <c r="B232"/>
      <c r="D232"/>
    </row>
    <row r="233" spans="2:4" ht="15.6">
      <c r="B233"/>
      <c r="D233"/>
    </row>
    <row r="234" spans="2:4" ht="15.6">
      <c r="B234"/>
      <c r="D234"/>
    </row>
    <row r="235" spans="2:4" ht="15.6">
      <c r="B235"/>
    </row>
    <row r="236" spans="2:4" ht="15.6">
      <c r="B236"/>
    </row>
    <row r="237" spans="2:4" ht="15.6">
      <c r="B237"/>
    </row>
    <row r="238" spans="2:4" ht="15.6">
      <c r="B238"/>
    </row>
    <row r="239" spans="2:4" ht="15.6">
      <c r="B239"/>
    </row>
    <row r="240" spans="2:4" ht="15.6">
      <c r="B240"/>
    </row>
    <row r="241" spans="2:2" ht="15.6">
      <c r="B241"/>
    </row>
    <row r="242" spans="2:2" ht="15.6">
      <c r="B242"/>
    </row>
    <row r="243" spans="2:2" ht="15.6">
      <c r="B243"/>
    </row>
    <row r="244" spans="2:2" ht="15.6">
      <c r="B244"/>
    </row>
    <row r="245" spans="2:2" ht="15.6">
      <c r="B245"/>
    </row>
    <row r="246" spans="2:2" ht="15.6">
      <c r="B246"/>
    </row>
    <row r="247" spans="2:2" ht="15.6">
      <c r="B247"/>
    </row>
    <row r="248" spans="2:2" ht="15.6">
      <c r="B248"/>
    </row>
    <row r="249" spans="2:2" ht="15.6">
      <c r="B249"/>
    </row>
    <row r="250" spans="2:2" ht="15.6">
      <c r="B250"/>
    </row>
    <row r="251" spans="2:2" ht="15.6">
      <c r="B251"/>
    </row>
    <row r="252" spans="2:2" ht="15.6">
      <c r="B252"/>
    </row>
    <row r="253" spans="2:2" ht="15.6">
      <c r="B253"/>
    </row>
    <row r="254" spans="2:2" ht="15.6">
      <c r="B254"/>
    </row>
    <row r="255" spans="2:2" ht="15.6">
      <c r="B255"/>
    </row>
    <row r="256" spans="2:2" ht="15.6">
      <c r="B256"/>
    </row>
    <row r="257" spans="2:2" ht="15.6">
      <c r="B257"/>
    </row>
    <row r="258" spans="2:2" ht="15.6">
      <c r="B258"/>
    </row>
    <row r="259" spans="2:2" ht="15.6">
      <c r="B259"/>
    </row>
    <row r="260" spans="2:2" ht="15.6">
      <c r="B260"/>
    </row>
    <row r="261" spans="2:2" ht="15.6">
      <c r="B261"/>
    </row>
    <row r="262" spans="2:2" ht="15.6">
      <c r="B262"/>
    </row>
    <row r="263" spans="2:2" ht="15.6">
      <c r="B263"/>
    </row>
    <row r="264" spans="2:2" ht="15.6">
      <c r="B264"/>
    </row>
    <row r="265" spans="2:2" ht="15.6">
      <c r="B265"/>
    </row>
    <row r="266" spans="2:2" ht="15.6">
      <c r="B266"/>
    </row>
    <row r="267" spans="2:2" ht="15.6">
      <c r="B267"/>
    </row>
    <row r="268" spans="2:2" ht="15.6">
      <c r="B268"/>
    </row>
    <row r="269" spans="2:2" ht="15.6">
      <c r="B269"/>
    </row>
    <row r="270" spans="2:2" ht="15.6">
      <c r="B270"/>
    </row>
    <row r="271" spans="2:2" ht="15.6">
      <c r="B271"/>
    </row>
    <row r="272" spans="2:2" ht="15.6">
      <c r="B272"/>
    </row>
    <row r="273" spans="2:2" ht="15.6">
      <c r="B273"/>
    </row>
    <row r="274" spans="2:2" ht="15.6">
      <c r="B274"/>
    </row>
    <row r="275" spans="2:2" ht="15.6">
      <c r="B275"/>
    </row>
    <row r="276" spans="2:2" ht="15.6">
      <c r="B276"/>
    </row>
    <row r="277" spans="2:2" ht="15.6">
      <c r="B277"/>
    </row>
    <row r="278" spans="2:2" ht="15.6">
      <c r="B278"/>
    </row>
    <row r="279" spans="2:2" ht="15.6">
      <c r="B279"/>
    </row>
    <row r="280" spans="2:2" ht="15.6">
      <c r="B280"/>
    </row>
    <row r="281" spans="2:2" ht="15.6">
      <c r="B281"/>
    </row>
    <row r="282" spans="2:2" ht="15.6">
      <c r="B282"/>
    </row>
    <row r="283" spans="2:2" ht="15.6">
      <c r="B283"/>
    </row>
    <row r="284" spans="2:2" ht="15.6">
      <c r="B284"/>
    </row>
    <row r="285" spans="2:2" ht="15.6">
      <c r="B285"/>
    </row>
    <row r="286" spans="2:2" ht="15.6">
      <c r="B286"/>
    </row>
    <row r="287" spans="2:2" ht="15.6">
      <c r="B287"/>
    </row>
    <row r="288" spans="2:2" ht="15.6">
      <c r="B288"/>
    </row>
    <row r="289" spans="2:2" ht="15.6">
      <c r="B289"/>
    </row>
    <row r="290" spans="2:2" ht="15.6">
      <c r="B290"/>
    </row>
    <row r="291" spans="2:2" ht="15.6">
      <c r="B291"/>
    </row>
    <row r="292" spans="2:2" ht="15.6">
      <c r="B292"/>
    </row>
    <row r="293" spans="2:2" ht="15.6">
      <c r="B293"/>
    </row>
    <row r="294" spans="2:2" ht="15.6">
      <c r="B294"/>
    </row>
    <row r="295" spans="2:2" ht="15.6">
      <c r="B295"/>
    </row>
    <row r="296" spans="2:2" ht="15.6">
      <c r="B296"/>
    </row>
    <row r="297" spans="2:2" ht="15.6">
      <c r="B297"/>
    </row>
    <row r="298" spans="2:2" ht="15.6">
      <c r="B298"/>
    </row>
    <row r="299" spans="2:2" ht="15.6">
      <c r="B299"/>
    </row>
    <row r="300" spans="2:2" ht="15.6">
      <c r="B300"/>
    </row>
    <row r="301" spans="2:2" ht="15.6">
      <c r="B301"/>
    </row>
    <row r="302" spans="2:2" ht="15.6">
      <c r="B302"/>
    </row>
    <row r="303" spans="2:2" ht="15.6">
      <c r="B303"/>
    </row>
    <row r="304" spans="2:2" ht="15.6">
      <c r="B304"/>
    </row>
    <row r="305" spans="2:2" ht="15.6">
      <c r="B305"/>
    </row>
    <row r="306" spans="2:2" ht="15.6">
      <c r="B306"/>
    </row>
    <row r="307" spans="2:2" ht="15.6">
      <c r="B307"/>
    </row>
    <row r="308" spans="2:2" ht="15.6">
      <c r="B308"/>
    </row>
    <row r="309" spans="2:2" ht="15.6">
      <c r="B309"/>
    </row>
    <row r="310" spans="2:2" ht="15.6">
      <c r="B310"/>
    </row>
    <row r="311" spans="2:2" ht="15.6">
      <c r="B311"/>
    </row>
    <row r="312" spans="2:2" ht="15.6">
      <c r="B312"/>
    </row>
    <row r="313" spans="2:2" ht="15.6">
      <c r="B313"/>
    </row>
    <row r="314" spans="2:2" ht="15.6">
      <c r="B314"/>
    </row>
    <row r="315" spans="2:2" ht="15.6">
      <c r="B315"/>
    </row>
    <row r="316" spans="2:2" ht="15.6">
      <c r="B316"/>
    </row>
    <row r="317" spans="2:2" ht="15.6">
      <c r="B317"/>
    </row>
    <row r="318" spans="2:2" ht="15.6">
      <c r="B318"/>
    </row>
    <row r="319" spans="2:2" ht="15.6">
      <c r="B319"/>
    </row>
    <row r="320" spans="2:2" ht="15.6">
      <c r="B320"/>
    </row>
    <row r="321" spans="2:2" ht="15.6">
      <c r="B321"/>
    </row>
    <row r="322" spans="2:2" ht="15.6">
      <c r="B322"/>
    </row>
    <row r="323" spans="2:2" ht="15.6">
      <c r="B323"/>
    </row>
    <row r="324" spans="2:2" ht="15.6">
      <c r="B324"/>
    </row>
    <row r="325" spans="2:2" ht="15.6">
      <c r="B325"/>
    </row>
    <row r="326" spans="2:2" ht="15.6">
      <c r="B326"/>
    </row>
    <row r="327" spans="2:2" ht="15.6">
      <c r="B327"/>
    </row>
    <row r="328" spans="2:2" ht="15.6">
      <c r="B328"/>
    </row>
    <row r="329" spans="2:2" ht="15.6">
      <c r="B329"/>
    </row>
    <row r="330" spans="2:2" ht="15.6">
      <c r="B330"/>
    </row>
    <row r="331" spans="2:2" ht="15.6">
      <c r="B331"/>
    </row>
    <row r="332" spans="2:2" ht="15.6">
      <c r="B332"/>
    </row>
    <row r="333" spans="2:2" ht="15.6">
      <c r="B333"/>
    </row>
    <row r="334" spans="2:2" ht="15.6">
      <c r="B334"/>
    </row>
    <row r="335" spans="2:2" ht="15.6">
      <c r="B335"/>
    </row>
    <row r="336" spans="2:2" ht="15.6">
      <c r="B336"/>
    </row>
    <row r="337" spans="2:2" ht="15.6">
      <c r="B337"/>
    </row>
    <row r="338" spans="2:2" ht="15.6">
      <c r="B338"/>
    </row>
    <row r="339" spans="2:2" ht="15.6">
      <c r="B339"/>
    </row>
    <row r="340" spans="2:2" ht="15.6">
      <c r="B340"/>
    </row>
    <row r="341" spans="2:2" ht="15.6">
      <c r="B341"/>
    </row>
    <row r="342" spans="2:2" ht="15.6">
      <c r="B342"/>
    </row>
    <row r="343" spans="2:2" ht="15.6">
      <c r="B343"/>
    </row>
    <row r="344" spans="2:2" ht="15.6">
      <c r="B344"/>
    </row>
    <row r="345" spans="2:2" ht="15.6">
      <c r="B345"/>
    </row>
    <row r="346" spans="2:2" ht="15.6">
      <c r="B346"/>
    </row>
    <row r="347" spans="2:2" ht="15.6">
      <c r="B347"/>
    </row>
    <row r="348" spans="2:2" ht="15.6">
      <c r="B348"/>
    </row>
  </sheetData>
  <autoFilter ref="A1:F175" xr:uid="{2521D55A-DA16-F041-9A23-4DD011A8A184}"/>
  <pageMargins left="0.511811024" right="0.511811024" top="0.78740157499999996" bottom="0.78740157499999996" header="0.31496062000000002" footer="0.31496062000000002"/>
  <pageSetup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C55F9-A97D-B44D-B504-CF10A67B366F}">
  <sheetPr>
    <tabColor theme="8" tint="0.39997558519241921"/>
  </sheetPr>
  <dimension ref="A1:AV16"/>
  <sheetViews>
    <sheetView showGridLines="0" zoomScale="117" workbookViewId="0">
      <pane ySplit="1" topLeftCell="A2" activePane="bottomLeft" state="frozen"/>
      <selection activeCell="AD20" sqref="AD20"/>
      <selection pane="bottomLeft" activeCell="AD20" sqref="AD20"/>
    </sheetView>
  </sheetViews>
  <sheetFormatPr defaultColWidth="8.796875" defaultRowHeight="14.4"/>
  <cols>
    <col min="1" max="1" width="32.5" style="53" customWidth="1"/>
    <col min="2" max="2" width="13.69921875" style="53" customWidth="1"/>
    <col min="3" max="3" width="11.296875" style="53" customWidth="1"/>
    <col min="4" max="4" width="8.796875" style="53"/>
    <col min="5" max="5" width="20.19921875" style="53" customWidth="1"/>
    <col min="6" max="6" width="38.796875" style="53" customWidth="1"/>
    <col min="7" max="8" width="8.796875" style="53"/>
    <col min="9" max="9" width="16.5" style="53" customWidth="1"/>
    <col min="10" max="10" width="15.19921875" style="53" customWidth="1"/>
    <col min="11" max="12" width="8.796875" style="53"/>
    <col min="13" max="48" width="15.796875" style="53" customWidth="1"/>
    <col min="49" max="16384" width="8.796875" style="53"/>
  </cols>
  <sheetData>
    <row r="1" spans="1:48" ht="57.6">
      <c r="A1" s="238" t="s">
        <v>1718</v>
      </c>
      <c r="B1" s="239" t="s">
        <v>1719</v>
      </c>
      <c r="C1" s="239" t="s">
        <v>1720</v>
      </c>
      <c r="D1" s="239" t="s">
        <v>35</v>
      </c>
      <c r="E1" s="239" t="s">
        <v>1721</v>
      </c>
      <c r="F1" s="239" t="s">
        <v>1722</v>
      </c>
      <c r="G1" s="239" t="s">
        <v>1723</v>
      </c>
      <c r="H1" s="239" t="s">
        <v>1724</v>
      </c>
      <c r="I1" s="239" t="s">
        <v>1725</v>
      </c>
      <c r="J1" s="239" t="s">
        <v>1726</v>
      </c>
      <c r="K1" s="239" t="s">
        <v>83</v>
      </c>
      <c r="L1" s="239" t="s">
        <v>84</v>
      </c>
      <c r="M1" s="240" t="s">
        <v>29</v>
      </c>
      <c r="N1" s="240" t="s">
        <v>28</v>
      </c>
      <c r="O1" s="240" t="s">
        <v>30</v>
      </c>
      <c r="P1" s="240" t="s">
        <v>18</v>
      </c>
      <c r="Q1" s="240" t="s">
        <v>22</v>
      </c>
      <c r="R1" s="240" t="s">
        <v>24</v>
      </c>
      <c r="S1" s="240" t="s">
        <v>32</v>
      </c>
      <c r="T1" s="240" t="s">
        <v>21</v>
      </c>
      <c r="U1" s="240" t="s">
        <v>34</v>
      </c>
      <c r="V1" s="240" t="s">
        <v>31</v>
      </c>
      <c r="W1" s="240" t="s">
        <v>23</v>
      </c>
      <c r="X1" s="240" t="s">
        <v>19</v>
      </c>
      <c r="Y1" s="240" t="s">
        <v>20</v>
      </c>
      <c r="Z1" s="240" t="s">
        <v>26</v>
      </c>
      <c r="AA1" s="240" t="s">
        <v>25</v>
      </c>
      <c r="AB1" s="240" t="s">
        <v>16</v>
      </c>
      <c r="AC1" s="240" t="s">
        <v>27</v>
      </c>
      <c r="AD1" s="240" t="s">
        <v>33</v>
      </c>
      <c r="AE1" s="241" t="s">
        <v>282</v>
      </c>
      <c r="AF1" s="240" t="s">
        <v>1790</v>
      </c>
      <c r="AG1" s="240" t="s">
        <v>1791</v>
      </c>
      <c r="AH1" s="240" t="s">
        <v>1792</v>
      </c>
      <c r="AI1" s="240" t="s">
        <v>1793</v>
      </c>
      <c r="AJ1" s="240" t="s">
        <v>1794</v>
      </c>
      <c r="AK1" s="240" t="s">
        <v>1795</v>
      </c>
      <c r="AL1" s="240" t="s">
        <v>1781</v>
      </c>
      <c r="AM1" s="240" t="s">
        <v>2040</v>
      </c>
      <c r="AN1" s="240" t="s">
        <v>1782</v>
      </c>
      <c r="AO1" s="240" t="s">
        <v>13</v>
      </c>
      <c r="AP1" s="240" t="s">
        <v>1783</v>
      </c>
      <c r="AQ1" s="240" t="s">
        <v>2101</v>
      </c>
      <c r="AR1" s="240" t="s">
        <v>1784</v>
      </c>
      <c r="AS1" s="240" t="s">
        <v>2041</v>
      </c>
      <c r="AT1" s="240" t="s">
        <v>2042</v>
      </c>
      <c r="AU1" s="240" t="s">
        <v>1788</v>
      </c>
      <c r="AV1" s="240" t="s">
        <v>1789</v>
      </c>
    </row>
    <row r="2" spans="1:48" ht="15.6">
      <c r="A2" t="s">
        <v>1773</v>
      </c>
      <c r="B2" t="s">
        <v>42</v>
      </c>
      <c r="C2" t="s">
        <v>2037</v>
      </c>
      <c r="D2" t="s">
        <v>2468</v>
      </c>
      <c r="E2" t="s">
        <v>612</v>
      </c>
      <c r="F2" t="s">
        <v>2469</v>
      </c>
      <c r="G2" t="s">
        <v>1727</v>
      </c>
      <c r="H2" t="s">
        <v>1728</v>
      </c>
      <c r="I2" t="s">
        <v>1728</v>
      </c>
      <c r="J2" t="s">
        <v>1728</v>
      </c>
      <c r="K2">
        <v>1.859222550864626E-7</v>
      </c>
      <c r="L2" t="s">
        <v>2470</v>
      </c>
      <c r="M2" s="222" cm="1">
        <f t="array" ref="M2">IFERROR(INDEX('LCA-IO'!$C$2:$C$175,MATCH($A2&amp;M$1,'LCA-IO'!$B$2:$B$175&amp;'LCA-IO'!$D$2:$D$175,0)),0)*$K2</f>
        <v>0</v>
      </c>
      <c r="N2" s="222" cm="1">
        <f t="array" ref="N2">IFERROR(INDEX('LCA-IO'!$C$2:$C$175,MATCH($A2&amp;N$1,'LCA-IO'!$B$2:$B$175&amp;'LCA-IO'!$D$2:$D$175,0)),0)*$K2</f>
        <v>0</v>
      </c>
      <c r="O2" s="222" cm="1">
        <f t="array" ref="O2">IFERROR(INDEX('LCA-IO'!$C$2:$C$175,MATCH($A2&amp;O$1,'LCA-IO'!$B$2:$B$175&amp;'LCA-IO'!$D$2:$D$175,0)),0)*$K2</f>
        <v>0</v>
      </c>
      <c r="P2" s="222" cm="1">
        <f t="array" ref="P2">IFERROR(INDEX('LCA-IO'!$C$2:$C$175,MATCH($A2&amp;P$1,'LCA-IO'!$B$2:$B$175&amp;'LCA-IO'!$D$2:$D$175,0)),0)*$K2</f>
        <v>0</v>
      </c>
      <c r="Q2" s="222" cm="1">
        <f t="array" ref="Q2">IFERROR(INDEX('LCA-IO'!$C$2:$C$175,MATCH($A2&amp;Q$1,'LCA-IO'!$B$2:$B$175&amp;'LCA-IO'!$D$2:$D$175,0)),0)*$K2</f>
        <v>0</v>
      </c>
      <c r="R2" s="222" cm="1">
        <f t="array" ref="R2">IFERROR(INDEX('LCA-IO'!$C$2:$C$175,MATCH($A2&amp;R$1,'LCA-IO'!$B$2:$B$175&amp;'LCA-IO'!$D$2:$D$175,0)),0)*$K2</f>
        <v>0</v>
      </c>
      <c r="S2" s="222" cm="1">
        <f t="array" ref="S2">IFERROR(INDEX('LCA-IO'!$C$2:$C$175,MATCH($A2&amp;S$1,'LCA-IO'!$B$2:$B$175&amp;'LCA-IO'!$D$2:$D$175,0)),0)*$K2</f>
        <v>0</v>
      </c>
      <c r="T2" s="222" cm="1">
        <f t="array" ref="T2">IFERROR(INDEX('LCA-IO'!$C$2:$C$175,MATCH($A2&amp;T$1,'LCA-IO'!$B$2:$B$175&amp;'LCA-IO'!$D$2:$D$175,0)),0)*$K2</f>
        <v>0</v>
      </c>
      <c r="U2" s="222" cm="1">
        <f t="array" ref="U2">IFERROR(INDEX('LCA-IO'!$C$2:$C$175,MATCH($A2&amp;U$1,'LCA-IO'!$B$2:$B$175&amp;'LCA-IO'!$D$2:$D$175,0)),0)*$K2</f>
        <v>0</v>
      </c>
      <c r="V2" s="222" cm="1">
        <f t="array" ref="V2">IFERROR(INDEX('LCA-IO'!$C$2:$C$175,MATCH($A2&amp;V$1,'LCA-IO'!$B$2:$B$175&amp;'LCA-IO'!$D$2:$D$175,0)),0)*$K2</f>
        <v>0</v>
      </c>
      <c r="W2" s="222" cm="1">
        <f t="array" ref="W2">IFERROR(INDEX('LCA-IO'!$C$2:$C$175,MATCH($A2&amp;W$1,'LCA-IO'!$B$2:$B$175&amp;'LCA-IO'!$D$2:$D$175,0)),0)*$K2</f>
        <v>0</v>
      </c>
      <c r="X2" s="222" cm="1">
        <f t="array" ref="X2">IFERROR(INDEX('LCA-IO'!$C$2:$C$175,MATCH($A2&amp;X$1,'LCA-IO'!$B$2:$B$175&amp;'LCA-IO'!$D$2:$D$175,0)),0)*$K2</f>
        <v>0</v>
      </c>
      <c r="Y2" s="222" cm="1">
        <f t="array" ref="Y2">IFERROR(INDEX('LCA-IO'!$C$2:$C$175,MATCH($A2&amp;Y$1,'LCA-IO'!$B$2:$B$175&amp;'LCA-IO'!$D$2:$D$175,0)),0)*$K2</f>
        <v>0</v>
      </c>
      <c r="Z2" s="222" cm="1">
        <f t="array" ref="Z2">IFERROR(INDEX('LCA-IO'!$C$2:$C$175,MATCH($A2&amp;Z$1,'LCA-IO'!$B$2:$B$175&amp;'LCA-IO'!$D$2:$D$175,0)),0)*$K2</f>
        <v>0</v>
      </c>
      <c r="AA2" s="222" cm="1">
        <f t="array" ref="AA2">IFERROR(INDEX('LCA-IO'!$C$2:$C$175,MATCH($A2&amp;AA$1,'LCA-IO'!$B$2:$B$175&amp;'LCA-IO'!$D$2:$D$175,0)),0)*$K2</f>
        <v>0</v>
      </c>
      <c r="AB2" s="222" cm="1">
        <f t="array" ref="AB2">IFERROR(INDEX('LCA-IO'!$C$2:$C$175,MATCH($A2&amp;AB$1,'LCA-IO'!$B$2:$B$175&amp;'LCA-IO'!$D$2:$D$175,0)),0)*$K2</f>
        <v>0</v>
      </c>
      <c r="AC2" s="222" cm="1">
        <f t="array" ref="AC2">IFERROR(INDEX('LCA-IO'!$C$2:$C$175,MATCH($A2&amp;AC$1,'LCA-IO'!$B$2:$B$175&amp;'LCA-IO'!$D$2:$D$175,0)),0)*$K2</f>
        <v>0</v>
      </c>
      <c r="AD2" s="222" cm="1">
        <f t="array" ref="AD2">IFERROR(INDEX('LCA-IO'!$C$2:$C$175,MATCH($A2&amp;AD$1,'LCA-IO'!$B$2:$B$175&amp;'LCA-IO'!$D$2:$D$175,0)),0)*$K2</f>
        <v>0</v>
      </c>
      <c r="AE2" s="223" cm="1">
        <f t="array" ref="AE2">IFERROR(INDEX('LCA-IO'!$C$2:$C$175,MATCH($A2&amp;AE$1,'LCA-IO'!$B$2:$B$175&amp;'LCA-IO'!$D$2:$D$175,0)),0)*$K2</f>
        <v>0</v>
      </c>
      <c r="AF2" s="237">
        <f>IF(IO_DB[[#This Row],[Variable]]="Jobs Created FTEs Low-skilled in 1000 Persons",IO_DB[[#This Row],[Value]],0)*1000*MIN(INDEX('Wages | VI '!$Z:$Z,MATCH(IO_DB[[#This Row],[Manufacturing Country]],'Wages | VI '!$A:$A,0)),4*INDEX('LW2023-24 | VI'!$J:$J,MATCH(IO_DB[[#This Row],[Manufacturing Country]],'LW2023-24 | VI'!$C:$C,0)))</f>
        <v>0</v>
      </c>
      <c r="AG2" s="237">
        <f>IF(IO_DB[[#This Row],[Variable]]="Jobs Created FTEs Medium-skilled in 1000 Persons",IO_DB[[#This Row],[Value]],0)*1000*MIN(INDEX('Wages | VI '!$AA:$AA,MATCH(IO_DB[[#This Row],[Manufacturing Country]],'Wages | VI '!$A:$A,0)),4*INDEX('LW2023-24 | VI'!$J:$J,MATCH(IO_DB[[#This Row],[Manufacturing Country]],'LW2023-24 | VI'!$C:$C,0)))</f>
        <v>0</v>
      </c>
      <c r="AH2" s="237">
        <f>IF(IO_DB[[#This Row],[Variable]]="Jobs Created FTEs High-skilled in 1000 Persons",IO_DB[[#This Row],[Value]],0)*1000*MIN(INDEX('Wages | VI '!$AB:$AB,MATCH(IO_DB[[#This Row],[Manufacturing Country]],'Wages | VI '!$A:$A,0)),4*INDEX('LW2023-24 | VI'!$J:$J,MATCH(IO_DB[[#This Row],[Manufacturing Country]],'LW2023-24 | VI'!$C:$C,0)))</f>
        <v>0</v>
      </c>
      <c r="AI2" s="237">
        <f>IF(IO_DB[[#This Row],[Variable]]="Jobs Created FTEs Low-skilled in 1000 Persons",IO_DB[[#This Row],[Value]],0)*1000*MAX(0,INDEX('LW2023-24 | VI'!$J:$J,MATCH(IO_DB[[#This Row],[Manufacturing Country]],'LW2023-24 | VI'!$C:$C,0))-INDEX('Wages | VI '!$Z:$Z,MATCH(IO_DB[[#This Row],[Manufacturing Country]],'Wages | VI '!$A:$A,0)))</f>
        <v>0</v>
      </c>
      <c r="AJ2" s="237">
        <f>IF(IO_DB[[#This Row],[Variable]]="Jobs Created FTEs Medium-skilled in 1000 Persons",IO_DB[[#This Row],[Value]],0)*1000*MAX(0,INDEX('LW2023-24 | VI'!$J:$J,MATCH(IO_DB[[#This Row],[Manufacturing Country]],'LW2023-24 | VI'!$C:$C,0))-INDEX('Wages | VI '!$AA:$AA,MATCH(IO_DB[[#This Row],[Manufacturing Country]],'Wages | VI '!$A:$A,0)))</f>
        <v>0</v>
      </c>
      <c r="AK2" s="237">
        <f>IF(IO_DB[[#This Row],[Variable]]="Jobs Created FTEs High-skilled in 1000 Persons",IO_DB[[#This Row],[Value]],0)*1000*MAX(0,INDEX('LW2023-24 | VI'!$J:$J,MATCH(IO_DB[[#This Row],[Manufacturing Country]],'LW2023-24 | VI'!$C:$C,0))-INDEX('Wages | VI '!$AB:$AB,MATCH(IO_DB[[#This Row],[Manufacturing Country]],'Wages | VI '!$A:$A,0)))</f>
        <v>0</v>
      </c>
      <c r="AL2" s="237">
        <f>IF(IO_DB[[#This Row],[Variable]]="Gender Pay Gap in USD",IO_DB[[#This Row],[Value]],0)</f>
        <v>0</v>
      </c>
      <c r="AM2" s="237">
        <f>IF(IO_DB[[#This Row],[Variable]]="Disability Pay Gap in USD",IO_DB[[#This Row],[Value]],0)</f>
        <v>0</v>
      </c>
      <c r="AN2" s="237">
        <f>IF(IO_DB[[#This Row],[Variable]]="Child Labor in Children",IO_DB[[#This Row],[Value]],0)*INDEX('EDU | VI'!$K:$M,MATCH(IO_DB[[#This Row],[Manufacturing Country]],'EDU | VI'!$A:$A,0),2)*'Parameters | Agora'!$B$22</f>
        <v>5.6082704557811093E-3</v>
      </c>
      <c r="AO2" s="237">
        <f>IF(IO_DB[[#This Row],[Variable]]="Human Capital / Training in Hours",IO_DB[[#This Row],[Value]],0)*INDEX('EDU | VI'!$K:$M,MATCH(IO_DB[[#This Row],[Manufacturing Country]],'EDU | VI'!$A:$A,0),2)</f>
        <v>0</v>
      </c>
      <c r="AP2" s="237">
        <f>IF(IO_DB[[#This Row],[Variable]]="Forced Labor in Persons",IO_DB[[#This Row],[Value]],0)*'Parameters | Agora'!$B$41</f>
        <v>0</v>
      </c>
      <c r="AQ2" s="237">
        <f>IF(IO_DB[[#This Row],[Variable]]="OHS Injury Total in Cases",IO_DB[[#This Row],[Value]],0)*INDEX('HEALTH | VI'!$L:$L,MATCH(IO_DB[[#This Row],[Manufacturing Country]],'HEALTH | VI'!$A:$A,0))</f>
        <v>0</v>
      </c>
      <c r="AR2" s="237">
        <f>IF(IO_DB[[#This Row],[Variable]]="OHS Disease/Illness Total in Cases",IO_DB[[#This Row],[Value]],0)*'Parameters | Agora'!$B$47</f>
        <v>0</v>
      </c>
      <c r="AS2" s="237">
        <f>IF(IO_DB[[#This Row],[Variable]]="Freedom of Association in Cases",IO_DB[[#This Row],[Value]],0)*'Parameters | Agora'!$B$51*INDEX('Wages | VI '!$Z:$AB,MATCH(IO_DB[[#This Row],[Manufacturing Country]],'Wages | VI '!$A:$A,0),1)</f>
        <v>0</v>
      </c>
      <c r="AT2" s="237">
        <f>IF(IO_DB[[#This Row],[Variable]]="Working Overtime in Cases",IO_DB[[#This Row],[Value]],0)*'Parameters | Agora'!$B$57</f>
        <v>0</v>
      </c>
      <c r="AU2" s="237">
        <f>IF(IO_DB[[#This Row],[Variable]]="Corporate Income Taxes (IMF Tax Revenue Database) in USD",IO_DB[[#This Row],[Value]],0)</f>
        <v>0</v>
      </c>
      <c r="AV2" s="237">
        <f>IF(IO_DB[[#This Row],[Variable]]="Personal Income Taxes (Collecting Taxes Database) in USD",IO_DB[[#This Row],[Value]],0)</f>
        <v>0</v>
      </c>
    </row>
    <row r="3" spans="1:48" ht="15.6">
      <c r="A3" t="s">
        <v>2471</v>
      </c>
      <c r="B3" t="s">
        <v>42</v>
      </c>
      <c r="C3" t="s">
        <v>1776</v>
      </c>
      <c r="D3" t="s">
        <v>2468</v>
      </c>
      <c r="E3" t="s">
        <v>612</v>
      </c>
      <c r="F3" t="s">
        <v>2469</v>
      </c>
      <c r="G3" t="s">
        <v>1727</v>
      </c>
      <c r="H3" t="s">
        <v>1728</v>
      </c>
      <c r="I3" t="s">
        <v>1728</v>
      </c>
      <c r="J3" t="s">
        <v>1728</v>
      </c>
      <c r="K3">
        <v>2.7059844899938731E-2</v>
      </c>
      <c r="L3" t="s">
        <v>175</v>
      </c>
      <c r="M3" s="222" cm="1">
        <f t="array" ref="M3">IFERROR(INDEX('LCA-IO'!$C$2:$C$175,MATCH($A3&amp;M$1,'LCA-IO'!$B$2:$B$175&amp;'LCA-IO'!$D$2:$D$175,0)),0)*$K3</f>
        <v>0</v>
      </c>
      <c r="N3" s="222" cm="1">
        <f t="array" ref="N3">IFERROR(INDEX('LCA-IO'!$C$2:$C$175,MATCH($A3&amp;N$1,'LCA-IO'!$B$2:$B$175&amp;'LCA-IO'!$D$2:$D$175,0)),0)*$K3</f>
        <v>0</v>
      </c>
      <c r="O3" s="222" cm="1">
        <f t="array" ref="O3">IFERROR(INDEX('LCA-IO'!$C$2:$C$175,MATCH($A3&amp;O$1,'LCA-IO'!$B$2:$B$175&amp;'LCA-IO'!$D$2:$D$175,0)),0)*$K3</f>
        <v>0</v>
      </c>
      <c r="P3" s="222" cm="1">
        <f t="array" ref="P3">IFERROR(INDEX('LCA-IO'!$C$2:$C$175,MATCH($A3&amp;P$1,'LCA-IO'!$B$2:$B$175&amp;'LCA-IO'!$D$2:$D$175,0)),0)*$K3</f>
        <v>0</v>
      </c>
      <c r="Q3" s="222" cm="1">
        <f t="array" ref="Q3">IFERROR(INDEX('LCA-IO'!$C$2:$C$175,MATCH($A3&amp;Q$1,'LCA-IO'!$B$2:$B$175&amp;'LCA-IO'!$D$2:$D$175,0)),0)*$K3</f>
        <v>0</v>
      </c>
      <c r="R3" s="222" cm="1">
        <f t="array" ref="R3">IFERROR(INDEX('LCA-IO'!$C$2:$C$175,MATCH($A3&amp;R$1,'LCA-IO'!$B$2:$B$175&amp;'LCA-IO'!$D$2:$D$175,0)),0)*$K3</f>
        <v>0</v>
      </c>
      <c r="S3" s="222" cm="1">
        <f t="array" ref="S3">IFERROR(INDEX('LCA-IO'!$C$2:$C$175,MATCH($A3&amp;S$1,'LCA-IO'!$B$2:$B$175&amp;'LCA-IO'!$D$2:$D$175,0)),0)*$K3</f>
        <v>0</v>
      </c>
      <c r="T3" s="222" cm="1">
        <f t="array" ref="T3">IFERROR(INDEX('LCA-IO'!$C$2:$C$175,MATCH($A3&amp;T$1,'LCA-IO'!$B$2:$B$175&amp;'LCA-IO'!$D$2:$D$175,0)),0)*$K3</f>
        <v>0</v>
      </c>
      <c r="U3" s="222" cm="1">
        <f t="array" ref="U3">IFERROR(INDEX('LCA-IO'!$C$2:$C$175,MATCH($A3&amp;U$1,'LCA-IO'!$B$2:$B$175&amp;'LCA-IO'!$D$2:$D$175,0)),0)*$K3</f>
        <v>0</v>
      </c>
      <c r="V3" s="222" cm="1">
        <f t="array" ref="V3">IFERROR(INDEX('LCA-IO'!$C$2:$C$175,MATCH($A3&amp;V$1,'LCA-IO'!$B$2:$B$175&amp;'LCA-IO'!$D$2:$D$175,0)),0)*$K3</f>
        <v>0</v>
      </c>
      <c r="W3" s="222" cm="1">
        <f t="array" ref="W3">IFERROR(INDEX('LCA-IO'!$C$2:$C$175,MATCH($A3&amp;W$1,'LCA-IO'!$B$2:$B$175&amp;'LCA-IO'!$D$2:$D$175,0)),0)*$K3</f>
        <v>0</v>
      </c>
      <c r="X3" s="222" cm="1">
        <f t="array" ref="X3">IFERROR(INDEX('LCA-IO'!$C$2:$C$175,MATCH($A3&amp;X$1,'LCA-IO'!$B$2:$B$175&amp;'LCA-IO'!$D$2:$D$175,0)),0)*$K3</f>
        <v>0</v>
      </c>
      <c r="Y3" s="222" cm="1">
        <f t="array" ref="Y3">IFERROR(INDEX('LCA-IO'!$C$2:$C$175,MATCH($A3&amp;Y$1,'LCA-IO'!$B$2:$B$175&amp;'LCA-IO'!$D$2:$D$175,0)),0)*$K3</f>
        <v>0</v>
      </c>
      <c r="Z3" s="222" cm="1">
        <f t="array" ref="Z3">IFERROR(INDEX('LCA-IO'!$C$2:$C$175,MATCH($A3&amp;Z$1,'LCA-IO'!$B$2:$B$175&amp;'LCA-IO'!$D$2:$D$175,0)),0)*$K3</f>
        <v>0</v>
      </c>
      <c r="AA3" s="222" cm="1">
        <f t="array" ref="AA3">IFERROR(INDEX('LCA-IO'!$C$2:$C$175,MATCH($A3&amp;AA$1,'LCA-IO'!$B$2:$B$175&amp;'LCA-IO'!$D$2:$D$175,0)),0)*$K3</f>
        <v>0</v>
      </c>
      <c r="AB3" s="222" cm="1">
        <f t="array" ref="AB3">IFERROR(INDEX('LCA-IO'!$C$2:$C$175,MATCH($A3&amp;AB$1,'LCA-IO'!$B$2:$B$175&amp;'LCA-IO'!$D$2:$D$175,0)),0)*$K3</f>
        <v>0</v>
      </c>
      <c r="AC3" s="222" cm="1">
        <f t="array" ref="AC3">IFERROR(INDEX('LCA-IO'!$C$2:$C$175,MATCH($A3&amp;AC$1,'LCA-IO'!$B$2:$B$175&amp;'LCA-IO'!$D$2:$D$175,0)),0)*$K3</f>
        <v>0</v>
      </c>
      <c r="AD3" s="222" cm="1">
        <f t="array" ref="AD3">IFERROR(INDEX('LCA-IO'!$C$2:$C$175,MATCH($A3&amp;AD$1,'LCA-IO'!$B$2:$B$175&amp;'LCA-IO'!$D$2:$D$175,0)),0)*$K3</f>
        <v>0</v>
      </c>
      <c r="AE3" s="223" cm="1">
        <f t="array" ref="AE3">IFERROR(INDEX('LCA-IO'!$C$2:$C$175,MATCH($A3&amp;AE$1,'LCA-IO'!$B$2:$B$175&amp;'LCA-IO'!$D$2:$D$175,0)),0)*$K3</f>
        <v>0</v>
      </c>
      <c r="AF3" s="237">
        <f>IF(IO_DB[[#This Row],[Variable]]="Jobs Created FTEs Low-skilled in 1000 Persons",IO_DB[[#This Row],[Value]],0)*1000*MIN(INDEX('Wages | VI '!$Z:$Z,MATCH(IO_DB[[#This Row],[Manufacturing Country]],'Wages | VI '!$A:$A,0)),4*INDEX('LW2023-24 | VI'!$J:$J,MATCH(IO_DB[[#This Row],[Manufacturing Country]],'LW2023-24 | VI'!$C:$C,0)))</f>
        <v>0</v>
      </c>
      <c r="AG3" s="237">
        <f>IF(IO_DB[[#This Row],[Variable]]="Jobs Created FTEs Medium-skilled in 1000 Persons",IO_DB[[#This Row],[Value]],0)*1000*MIN(INDEX('Wages | VI '!$AA:$AA,MATCH(IO_DB[[#This Row],[Manufacturing Country]],'Wages | VI '!$A:$A,0)),4*INDEX('LW2023-24 | VI'!$J:$J,MATCH(IO_DB[[#This Row],[Manufacturing Country]],'LW2023-24 | VI'!$C:$C,0)))</f>
        <v>0</v>
      </c>
      <c r="AH3" s="237">
        <f>IF(IO_DB[[#This Row],[Variable]]="Jobs Created FTEs High-skilled in 1000 Persons",IO_DB[[#This Row],[Value]],0)*1000*MIN(INDEX('Wages | VI '!$AB:$AB,MATCH(IO_DB[[#This Row],[Manufacturing Country]],'Wages | VI '!$A:$A,0)),4*INDEX('LW2023-24 | VI'!$J:$J,MATCH(IO_DB[[#This Row],[Manufacturing Country]],'LW2023-24 | VI'!$C:$C,0)))</f>
        <v>0</v>
      </c>
      <c r="AI3" s="237">
        <f>IF(IO_DB[[#This Row],[Variable]]="Jobs Created FTEs Low-skilled in 1000 Persons",IO_DB[[#This Row],[Value]],0)*1000*MAX(0,INDEX('LW2023-24 | VI'!$J:$J,MATCH(IO_DB[[#This Row],[Manufacturing Country]],'LW2023-24 | VI'!$C:$C,0))-INDEX('Wages | VI '!$Z:$Z,MATCH(IO_DB[[#This Row],[Manufacturing Country]],'Wages | VI '!$A:$A,0)))</f>
        <v>0</v>
      </c>
      <c r="AJ3" s="237">
        <f>IF(IO_DB[[#This Row],[Variable]]="Jobs Created FTEs Medium-skilled in 1000 Persons",IO_DB[[#This Row],[Value]],0)*1000*MAX(0,INDEX('LW2023-24 | VI'!$J:$J,MATCH(IO_DB[[#This Row],[Manufacturing Country]],'LW2023-24 | VI'!$C:$C,0))-INDEX('Wages | VI '!$AA:$AA,MATCH(IO_DB[[#This Row],[Manufacturing Country]],'Wages | VI '!$A:$A,0)))</f>
        <v>0</v>
      </c>
      <c r="AK3" s="237">
        <f>IF(IO_DB[[#This Row],[Variable]]="Jobs Created FTEs High-skilled in 1000 Persons",IO_DB[[#This Row],[Value]],0)*1000*MAX(0,INDEX('LW2023-24 | VI'!$J:$J,MATCH(IO_DB[[#This Row],[Manufacturing Country]],'LW2023-24 | VI'!$C:$C,0))-INDEX('Wages | VI '!$AB:$AB,MATCH(IO_DB[[#This Row],[Manufacturing Country]],'Wages | VI '!$A:$A,0)))</f>
        <v>0</v>
      </c>
      <c r="AL3" s="222">
        <f>IF(IO_DB[[#This Row],[Variable]]="Gender Pay Gap in USD",IO_DB[[#This Row],[Value]],0)</f>
        <v>0</v>
      </c>
      <c r="AM3" s="222">
        <f>IF(IO_DB[[#This Row],[Variable]]="Disability Pay Gap in USD",IO_DB[[#This Row],[Value]],0)</f>
        <v>0</v>
      </c>
      <c r="AN3" s="222">
        <f>IF(IO_DB[[#This Row],[Variable]]="Child Labor in Children",IO_DB[[#This Row],[Value]],0)*INDEX('EDU | VI'!$K:$M,MATCH(IO_DB[[#This Row],[Manufacturing Country]],'EDU | VI'!$A:$A,0),2)*'Parameters | Agora'!$B$22</f>
        <v>0</v>
      </c>
      <c r="AO3" s="222">
        <f>IF(IO_DB[[#This Row],[Variable]]="Human Capital / Training in Hours",IO_DB[[#This Row],[Value]],0)*INDEX('EDU | VI'!$K:$M,MATCH(IO_DB[[#This Row],[Manufacturing Country]],'EDU | VI'!$A:$A,0),2)</f>
        <v>0</v>
      </c>
      <c r="AP3" s="237">
        <f>IF(IO_DB[[#This Row],[Variable]]="Forced Labor in Persons",IO_DB[[#This Row],[Value]],0)*'Parameters | Agora'!$B$41</f>
        <v>0</v>
      </c>
      <c r="AQ3" s="222">
        <f>IF(IO_DB[[#This Row],[Variable]]="OHS Injury Total in Cases",IO_DB[[#This Row],[Value]],0)*INDEX('HEALTH | VI'!$L:$L,MATCH(IO_DB[[#This Row],[Manufacturing Country]],'HEALTH | VI'!$A:$A,0))</f>
        <v>0</v>
      </c>
      <c r="AR3" s="222">
        <f>IF(IO_DB[[#This Row],[Variable]]="OHS Disease/Illness Total in Cases",IO_DB[[#This Row],[Value]],0)*'Parameters | Agora'!$B$47</f>
        <v>0</v>
      </c>
      <c r="AS3" s="222">
        <f>IF(IO_DB[[#This Row],[Variable]]="Freedom of Association in Cases",IO_DB[[#This Row],[Value]],0)*'Parameters | Agora'!$B$51*INDEX('Wages | VI '!$Z:$AB,MATCH(IO_DB[[#This Row],[Manufacturing Country]],'Wages | VI '!$A:$A,0),1)</f>
        <v>0</v>
      </c>
      <c r="AT3" s="222">
        <f>IF(IO_DB[[#This Row],[Variable]]="Working Overtime in Cases",IO_DB[[#This Row],[Value]],0)*'Parameters | Agora'!$B$57</f>
        <v>0</v>
      </c>
      <c r="AU3" s="222">
        <f>IF(IO_DB[[#This Row],[Variable]]="Corporate Income Taxes (IMF Tax Revenue Database) in USD",IO_DB[[#This Row],[Value]],0)</f>
        <v>0</v>
      </c>
      <c r="AV3" s="222">
        <f>IF(IO_DB[[#This Row],[Variable]]="Personal Income Taxes (Collecting Taxes Database) in USD",IO_DB[[#This Row],[Value]],0)</f>
        <v>0</v>
      </c>
    </row>
    <row r="4" spans="1:48" ht="15.6">
      <c r="A4" t="s">
        <v>2036</v>
      </c>
      <c r="B4" t="s">
        <v>42</v>
      </c>
      <c r="C4" t="s">
        <v>2037</v>
      </c>
      <c r="D4" t="s">
        <v>2468</v>
      </c>
      <c r="E4" t="s">
        <v>612</v>
      </c>
      <c r="F4" t="s">
        <v>2469</v>
      </c>
      <c r="G4" t="s">
        <v>1727</v>
      </c>
      <c r="H4" t="s">
        <v>1728</v>
      </c>
      <c r="I4" t="s">
        <v>1728</v>
      </c>
      <c r="J4" t="s">
        <v>1728</v>
      </c>
      <c r="K4">
        <v>6.289792583065516E-4</v>
      </c>
      <c r="L4" t="s">
        <v>175</v>
      </c>
      <c r="M4" s="222" cm="1">
        <f t="array" ref="M4">IFERROR(INDEX('LCA-IO'!$C$2:$C$175,MATCH($A4&amp;M$1,'LCA-IO'!$B$2:$B$175&amp;'LCA-IO'!$D$2:$D$175,0)),0)*$K4</f>
        <v>0</v>
      </c>
      <c r="N4" s="222" cm="1">
        <f t="array" ref="N4">IFERROR(INDEX('LCA-IO'!$C$2:$C$175,MATCH($A4&amp;N$1,'LCA-IO'!$B$2:$B$175&amp;'LCA-IO'!$D$2:$D$175,0)),0)*$K4</f>
        <v>0</v>
      </c>
      <c r="O4" s="222" cm="1">
        <f t="array" ref="O4">IFERROR(INDEX('LCA-IO'!$C$2:$C$175,MATCH($A4&amp;O$1,'LCA-IO'!$B$2:$B$175&amp;'LCA-IO'!$D$2:$D$175,0)),0)*$K4</f>
        <v>0</v>
      </c>
      <c r="P4" s="222" cm="1">
        <f t="array" ref="P4">IFERROR(INDEX('LCA-IO'!$C$2:$C$175,MATCH($A4&amp;P$1,'LCA-IO'!$B$2:$B$175&amp;'LCA-IO'!$D$2:$D$175,0)),0)*$K4</f>
        <v>0</v>
      </c>
      <c r="Q4" s="222" cm="1">
        <f t="array" ref="Q4">IFERROR(INDEX('LCA-IO'!$C$2:$C$175,MATCH($A4&amp;Q$1,'LCA-IO'!$B$2:$B$175&amp;'LCA-IO'!$D$2:$D$175,0)),0)*$K4</f>
        <v>0</v>
      </c>
      <c r="R4" s="222" cm="1">
        <f t="array" ref="R4">IFERROR(INDEX('LCA-IO'!$C$2:$C$175,MATCH($A4&amp;R$1,'LCA-IO'!$B$2:$B$175&amp;'LCA-IO'!$D$2:$D$175,0)),0)*$K4</f>
        <v>0</v>
      </c>
      <c r="S4" s="222" cm="1">
        <f t="array" ref="S4">IFERROR(INDEX('LCA-IO'!$C$2:$C$175,MATCH($A4&amp;S$1,'LCA-IO'!$B$2:$B$175&amp;'LCA-IO'!$D$2:$D$175,0)),0)*$K4</f>
        <v>0</v>
      </c>
      <c r="T4" s="222" cm="1">
        <f t="array" ref="T4">IFERROR(INDEX('LCA-IO'!$C$2:$C$175,MATCH($A4&amp;T$1,'LCA-IO'!$B$2:$B$175&amp;'LCA-IO'!$D$2:$D$175,0)),0)*$K4</f>
        <v>0</v>
      </c>
      <c r="U4" s="222" cm="1">
        <f t="array" ref="U4">IFERROR(INDEX('LCA-IO'!$C$2:$C$175,MATCH($A4&amp;U$1,'LCA-IO'!$B$2:$B$175&amp;'LCA-IO'!$D$2:$D$175,0)),0)*$K4</f>
        <v>0</v>
      </c>
      <c r="V4" s="222" cm="1">
        <f t="array" ref="V4">IFERROR(INDEX('LCA-IO'!$C$2:$C$175,MATCH($A4&amp;V$1,'LCA-IO'!$B$2:$B$175&amp;'LCA-IO'!$D$2:$D$175,0)),0)*$K4</f>
        <v>0</v>
      </c>
      <c r="W4" s="222" cm="1">
        <f t="array" ref="W4">IFERROR(INDEX('LCA-IO'!$C$2:$C$175,MATCH($A4&amp;W$1,'LCA-IO'!$B$2:$B$175&amp;'LCA-IO'!$D$2:$D$175,0)),0)*$K4</f>
        <v>0</v>
      </c>
      <c r="X4" s="222" cm="1">
        <f t="array" ref="X4">IFERROR(INDEX('LCA-IO'!$C$2:$C$175,MATCH($A4&amp;X$1,'LCA-IO'!$B$2:$B$175&amp;'LCA-IO'!$D$2:$D$175,0)),0)*$K4</f>
        <v>0</v>
      </c>
      <c r="Y4" s="222" cm="1">
        <f t="array" ref="Y4">IFERROR(INDEX('LCA-IO'!$C$2:$C$175,MATCH($A4&amp;Y$1,'LCA-IO'!$B$2:$B$175&amp;'LCA-IO'!$D$2:$D$175,0)),0)*$K4</f>
        <v>0</v>
      </c>
      <c r="Z4" s="222" cm="1">
        <f t="array" ref="Z4">IFERROR(INDEX('LCA-IO'!$C$2:$C$175,MATCH($A4&amp;Z$1,'LCA-IO'!$B$2:$B$175&amp;'LCA-IO'!$D$2:$D$175,0)),0)*$K4</f>
        <v>0</v>
      </c>
      <c r="AA4" s="222" cm="1">
        <f t="array" ref="AA4">IFERROR(INDEX('LCA-IO'!$C$2:$C$175,MATCH($A4&amp;AA$1,'LCA-IO'!$B$2:$B$175&amp;'LCA-IO'!$D$2:$D$175,0)),0)*$K4</f>
        <v>0</v>
      </c>
      <c r="AB4" s="222" cm="1">
        <f t="array" ref="AB4">IFERROR(INDEX('LCA-IO'!$C$2:$C$175,MATCH($A4&amp;AB$1,'LCA-IO'!$B$2:$B$175&amp;'LCA-IO'!$D$2:$D$175,0)),0)*$K4</f>
        <v>0</v>
      </c>
      <c r="AC4" s="222" cm="1">
        <f t="array" ref="AC4">IFERROR(INDEX('LCA-IO'!$C$2:$C$175,MATCH($A4&amp;AC$1,'LCA-IO'!$B$2:$B$175&amp;'LCA-IO'!$D$2:$D$175,0)),0)*$K4</f>
        <v>0</v>
      </c>
      <c r="AD4" s="222" cm="1">
        <f t="array" ref="AD4">IFERROR(INDEX('LCA-IO'!$C$2:$C$175,MATCH($A4&amp;AD$1,'LCA-IO'!$B$2:$B$175&amp;'LCA-IO'!$D$2:$D$175,0)),0)*$K4</f>
        <v>0</v>
      </c>
      <c r="AE4" s="223" cm="1">
        <f t="array" ref="AE4">IFERROR(INDEX('LCA-IO'!$C$2:$C$175,MATCH($A4&amp;AE$1,'LCA-IO'!$B$2:$B$175&amp;'LCA-IO'!$D$2:$D$175,0)),0)*$K4</f>
        <v>0</v>
      </c>
      <c r="AF4" s="237">
        <f>IF(IO_DB[[#This Row],[Variable]]="Jobs Created FTEs Low-skilled in 1000 Persons",IO_DB[[#This Row],[Value]],0)*1000*MIN(INDEX('Wages | VI '!$Z:$Z,MATCH(IO_DB[[#This Row],[Manufacturing Country]],'Wages | VI '!$A:$A,0)),4*INDEX('LW2023-24 | VI'!$J:$J,MATCH(IO_DB[[#This Row],[Manufacturing Country]],'LW2023-24 | VI'!$C:$C,0)))</f>
        <v>0</v>
      </c>
      <c r="AG4" s="237">
        <f>IF(IO_DB[[#This Row],[Variable]]="Jobs Created FTEs Medium-skilled in 1000 Persons",IO_DB[[#This Row],[Value]],0)*1000*MIN(INDEX('Wages | VI '!$AA:$AA,MATCH(IO_DB[[#This Row],[Manufacturing Country]],'Wages | VI '!$A:$A,0)),4*INDEX('LW2023-24 | VI'!$J:$J,MATCH(IO_DB[[#This Row],[Manufacturing Country]],'LW2023-24 | VI'!$C:$C,0)))</f>
        <v>0</v>
      </c>
      <c r="AH4" s="237">
        <f>IF(IO_DB[[#This Row],[Variable]]="Jobs Created FTEs High-skilled in 1000 Persons",IO_DB[[#This Row],[Value]],0)*1000*MIN(INDEX('Wages | VI '!$AB:$AB,MATCH(IO_DB[[#This Row],[Manufacturing Country]],'Wages | VI '!$A:$A,0)),4*INDEX('LW2023-24 | VI'!$J:$J,MATCH(IO_DB[[#This Row],[Manufacturing Country]],'LW2023-24 | VI'!$C:$C,0)))</f>
        <v>0</v>
      </c>
      <c r="AI4" s="237">
        <f>IF(IO_DB[[#This Row],[Variable]]="Jobs Created FTEs Low-skilled in 1000 Persons",IO_DB[[#This Row],[Value]],0)*1000*MAX(0,INDEX('LW2023-24 | VI'!$J:$J,MATCH(IO_DB[[#This Row],[Manufacturing Country]],'LW2023-24 | VI'!$C:$C,0))-INDEX('Wages | VI '!$Z:$Z,MATCH(IO_DB[[#This Row],[Manufacturing Country]],'Wages | VI '!$A:$A,0)))</f>
        <v>0</v>
      </c>
      <c r="AJ4" s="237">
        <f>IF(IO_DB[[#This Row],[Variable]]="Jobs Created FTEs Medium-skilled in 1000 Persons",IO_DB[[#This Row],[Value]],0)*1000*MAX(0,INDEX('LW2023-24 | VI'!$J:$J,MATCH(IO_DB[[#This Row],[Manufacturing Country]],'LW2023-24 | VI'!$C:$C,0))-INDEX('Wages | VI '!$AA:$AA,MATCH(IO_DB[[#This Row],[Manufacturing Country]],'Wages | VI '!$A:$A,0)))</f>
        <v>0</v>
      </c>
      <c r="AK4" s="237">
        <f>IF(IO_DB[[#This Row],[Variable]]="Jobs Created FTEs High-skilled in 1000 Persons",IO_DB[[#This Row],[Value]],0)*1000*MAX(0,INDEX('LW2023-24 | VI'!$J:$J,MATCH(IO_DB[[#This Row],[Manufacturing Country]],'LW2023-24 | VI'!$C:$C,0))-INDEX('Wages | VI '!$AB:$AB,MATCH(IO_DB[[#This Row],[Manufacturing Country]],'Wages | VI '!$A:$A,0)))</f>
        <v>0</v>
      </c>
      <c r="AL4" s="222">
        <f>IF(IO_DB[[#This Row],[Variable]]="Gender Pay Gap in USD",IO_DB[[#This Row],[Value]],0)</f>
        <v>0</v>
      </c>
      <c r="AM4" s="222">
        <f>IF(IO_DB[[#This Row],[Variable]]="Disability Pay Gap in USD",IO_DB[[#This Row],[Value]],0)</f>
        <v>6.289792583065516E-4</v>
      </c>
      <c r="AN4" s="222">
        <f>IF(IO_DB[[#This Row],[Variable]]="Child Labor in Children",IO_DB[[#This Row],[Value]],0)*INDEX('EDU | VI'!$K:$M,MATCH(IO_DB[[#This Row],[Manufacturing Country]],'EDU | VI'!$A:$A,0),2)*'Parameters | Agora'!$B$22</f>
        <v>0</v>
      </c>
      <c r="AO4" s="222">
        <f>IF(IO_DB[[#This Row],[Variable]]="Human Capital / Training in Hours",IO_DB[[#This Row],[Value]],0)*INDEX('EDU | VI'!$K:$M,MATCH(IO_DB[[#This Row],[Manufacturing Country]],'EDU | VI'!$A:$A,0),2)</f>
        <v>0</v>
      </c>
      <c r="AP4" s="237">
        <f>IF(IO_DB[[#This Row],[Variable]]="Forced Labor in Persons",IO_DB[[#This Row],[Value]],0)*'Parameters | Agora'!$B$41</f>
        <v>0</v>
      </c>
      <c r="AQ4" s="222">
        <f>IF(IO_DB[[#This Row],[Variable]]="OHS Injury Total in Cases",IO_DB[[#This Row],[Value]],0)*INDEX('HEALTH | VI'!$L:$L,MATCH(IO_DB[[#This Row],[Manufacturing Country]],'HEALTH | VI'!$A:$A,0))</f>
        <v>0</v>
      </c>
      <c r="AR4" s="222">
        <f>IF(IO_DB[[#This Row],[Variable]]="OHS Disease/Illness Total in Cases",IO_DB[[#This Row],[Value]],0)*'Parameters | Agora'!$B$47</f>
        <v>0</v>
      </c>
      <c r="AS4" s="222">
        <f>IF(IO_DB[[#This Row],[Variable]]="Freedom of Association in Cases",IO_DB[[#This Row],[Value]],0)*'Parameters | Agora'!$B$51*INDEX('Wages | VI '!$Z:$AB,MATCH(IO_DB[[#This Row],[Manufacturing Country]],'Wages | VI '!$A:$A,0),1)</f>
        <v>0</v>
      </c>
      <c r="AT4" s="222">
        <f>IF(IO_DB[[#This Row],[Variable]]="Working Overtime in Cases",IO_DB[[#This Row],[Value]],0)*'Parameters | Agora'!$B$57</f>
        <v>0</v>
      </c>
      <c r="AU4" s="222">
        <f>IF(IO_DB[[#This Row],[Variable]]="Corporate Income Taxes (IMF Tax Revenue Database) in USD",IO_DB[[#This Row],[Value]],0)</f>
        <v>0</v>
      </c>
      <c r="AV4" s="222">
        <f>IF(IO_DB[[#This Row],[Variable]]="Personal Income Taxes (Collecting Taxes Database) in USD",IO_DB[[#This Row],[Value]],0)</f>
        <v>0</v>
      </c>
    </row>
    <row r="5" spans="1:48" ht="15.6">
      <c r="A5" t="s">
        <v>2472</v>
      </c>
      <c r="B5" t="s">
        <v>42</v>
      </c>
      <c r="C5" t="s">
        <v>2037</v>
      </c>
      <c r="D5" t="s">
        <v>2468</v>
      </c>
      <c r="E5" t="s">
        <v>612</v>
      </c>
      <c r="F5" t="s">
        <v>2469</v>
      </c>
      <c r="G5" t="s">
        <v>1727</v>
      </c>
      <c r="H5" t="s">
        <v>1728</v>
      </c>
      <c r="I5" t="s">
        <v>1728</v>
      </c>
      <c r="J5" t="s">
        <v>1728</v>
      </c>
      <c r="K5">
        <v>8.671784494326747E-8</v>
      </c>
      <c r="L5" t="s">
        <v>2473</v>
      </c>
      <c r="M5" s="222" cm="1">
        <f t="array" ref="M5">IFERROR(INDEX('LCA-IO'!$C$2:$C$175,MATCH($A5&amp;M$1,'LCA-IO'!$B$2:$B$175&amp;'LCA-IO'!$D$2:$D$175,0)),0)*$K5</f>
        <v>0</v>
      </c>
      <c r="N5" s="222" cm="1">
        <f t="array" ref="N5">IFERROR(INDEX('LCA-IO'!$C$2:$C$175,MATCH($A5&amp;N$1,'LCA-IO'!$B$2:$B$175&amp;'LCA-IO'!$D$2:$D$175,0)),0)*$K5</f>
        <v>0</v>
      </c>
      <c r="O5" s="222" cm="1">
        <f t="array" ref="O5">IFERROR(INDEX('LCA-IO'!$C$2:$C$175,MATCH($A5&amp;O$1,'LCA-IO'!$B$2:$B$175&amp;'LCA-IO'!$D$2:$D$175,0)),0)*$K5</f>
        <v>0</v>
      </c>
      <c r="P5" s="222" cm="1">
        <f t="array" ref="P5">IFERROR(INDEX('LCA-IO'!$C$2:$C$175,MATCH($A5&amp;P$1,'LCA-IO'!$B$2:$B$175&amp;'LCA-IO'!$D$2:$D$175,0)),0)*$K5</f>
        <v>0</v>
      </c>
      <c r="Q5" s="222" cm="1">
        <f t="array" ref="Q5">IFERROR(INDEX('LCA-IO'!$C$2:$C$175,MATCH($A5&amp;Q$1,'LCA-IO'!$B$2:$B$175&amp;'LCA-IO'!$D$2:$D$175,0)),0)*$K5</f>
        <v>0</v>
      </c>
      <c r="R5" s="222" cm="1">
        <f t="array" ref="R5">IFERROR(INDEX('LCA-IO'!$C$2:$C$175,MATCH($A5&amp;R$1,'LCA-IO'!$B$2:$B$175&amp;'LCA-IO'!$D$2:$D$175,0)),0)*$K5</f>
        <v>0</v>
      </c>
      <c r="S5" s="222" cm="1">
        <f t="array" ref="S5">IFERROR(INDEX('LCA-IO'!$C$2:$C$175,MATCH($A5&amp;S$1,'LCA-IO'!$B$2:$B$175&amp;'LCA-IO'!$D$2:$D$175,0)),0)*$K5</f>
        <v>0</v>
      </c>
      <c r="T5" s="222" cm="1">
        <f t="array" ref="T5">IFERROR(INDEX('LCA-IO'!$C$2:$C$175,MATCH($A5&amp;T$1,'LCA-IO'!$B$2:$B$175&amp;'LCA-IO'!$D$2:$D$175,0)),0)*$K5</f>
        <v>0</v>
      </c>
      <c r="U5" s="222" cm="1">
        <f t="array" ref="U5">IFERROR(INDEX('LCA-IO'!$C$2:$C$175,MATCH($A5&amp;U$1,'LCA-IO'!$B$2:$B$175&amp;'LCA-IO'!$D$2:$D$175,0)),0)*$K5</f>
        <v>0</v>
      </c>
      <c r="V5" s="222" cm="1">
        <f t="array" ref="V5">IFERROR(INDEX('LCA-IO'!$C$2:$C$175,MATCH($A5&amp;V$1,'LCA-IO'!$B$2:$B$175&amp;'LCA-IO'!$D$2:$D$175,0)),0)*$K5</f>
        <v>0</v>
      </c>
      <c r="W5" s="222" cm="1">
        <f t="array" ref="W5">IFERROR(INDEX('LCA-IO'!$C$2:$C$175,MATCH($A5&amp;W$1,'LCA-IO'!$B$2:$B$175&amp;'LCA-IO'!$D$2:$D$175,0)),0)*$K5</f>
        <v>0</v>
      </c>
      <c r="X5" s="222" cm="1">
        <f t="array" ref="X5">IFERROR(INDEX('LCA-IO'!$C$2:$C$175,MATCH($A5&amp;X$1,'LCA-IO'!$B$2:$B$175&amp;'LCA-IO'!$D$2:$D$175,0)),0)*$K5</f>
        <v>0</v>
      </c>
      <c r="Y5" s="222" cm="1">
        <f t="array" ref="Y5">IFERROR(INDEX('LCA-IO'!$C$2:$C$175,MATCH($A5&amp;Y$1,'LCA-IO'!$B$2:$B$175&amp;'LCA-IO'!$D$2:$D$175,0)),0)*$K5</f>
        <v>0</v>
      </c>
      <c r="Z5" s="222" cm="1">
        <f t="array" ref="Z5">IFERROR(INDEX('LCA-IO'!$C$2:$C$175,MATCH($A5&amp;Z$1,'LCA-IO'!$B$2:$B$175&amp;'LCA-IO'!$D$2:$D$175,0)),0)*$K5</f>
        <v>0</v>
      </c>
      <c r="AA5" s="222" cm="1">
        <f t="array" ref="AA5">IFERROR(INDEX('LCA-IO'!$C$2:$C$175,MATCH($A5&amp;AA$1,'LCA-IO'!$B$2:$B$175&amp;'LCA-IO'!$D$2:$D$175,0)),0)*$K5</f>
        <v>0</v>
      </c>
      <c r="AB5" s="222" cm="1">
        <f t="array" ref="AB5">IFERROR(INDEX('LCA-IO'!$C$2:$C$175,MATCH($A5&amp;AB$1,'LCA-IO'!$B$2:$B$175&amp;'LCA-IO'!$D$2:$D$175,0)),0)*$K5</f>
        <v>0</v>
      </c>
      <c r="AC5" s="222" cm="1">
        <f t="array" ref="AC5">IFERROR(INDEX('LCA-IO'!$C$2:$C$175,MATCH($A5&amp;AC$1,'LCA-IO'!$B$2:$B$175&amp;'LCA-IO'!$D$2:$D$175,0)),0)*$K5</f>
        <v>0</v>
      </c>
      <c r="AD5" s="222" cm="1">
        <f t="array" ref="AD5">IFERROR(INDEX('LCA-IO'!$C$2:$C$175,MATCH($A5&amp;AD$1,'LCA-IO'!$B$2:$B$175&amp;'LCA-IO'!$D$2:$D$175,0)),0)*$K5</f>
        <v>0</v>
      </c>
      <c r="AE5" s="223" cm="1">
        <f t="array" ref="AE5">IFERROR(INDEX('LCA-IO'!$C$2:$C$175,MATCH($A5&amp;AE$1,'LCA-IO'!$B$2:$B$175&amp;'LCA-IO'!$D$2:$D$175,0)),0)*$K5</f>
        <v>0</v>
      </c>
      <c r="AF5" s="237">
        <f>IF(IO_DB[[#This Row],[Variable]]="Jobs Created FTEs Low-skilled in 1000 Persons",IO_DB[[#This Row],[Value]],0)*1000*MIN(INDEX('Wages | VI '!$Z:$Z,MATCH(IO_DB[[#This Row],[Manufacturing Country]],'Wages | VI '!$A:$A,0)),4*INDEX('LW2023-24 | VI'!$J:$J,MATCH(IO_DB[[#This Row],[Manufacturing Country]],'LW2023-24 | VI'!$C:$C,0)))</f>
        <v>0</v>
      </c>
      <c r="AG5" s="237">
        <f>IF(IO_DB[[#This Row],[Variable]]="Jobs Created FTEs Medium-skilled in 1000 Persons",IO_DB[[#This Row],[Value]],0)*1000*MIN(INDEX('Wages | VI '!$AA:$AA,MATCH(IO_DB[[#This Row],[Manufacturing Country]],'Wages | VI '!$A:$A,0)),4*INDEX('LW2023-24 | VI'!$J:$J,MATCH(IO_DB[[#This Row],[Manufacturing Country]],'LW2023-24 | VI'!$C:$C,0)))</f>
        <v>0</v>
      </c>
      <c r="AH5" s="237">
        <f>IF(IO_DB[[#This Row],[Variable]]="Jobs Created FTEs High-skilled in 1000 Persons",IO_DB[[#This Row],[Value]],0)*1000*MIN(INDEX('Wages | VI '!$AB:$AB,MATCH(IO_DB[[#This Row],[Manufacturing Country]],'Wages | VI '!$A:$A,0)),4*INDEX('LW2023-24 | VI'!$J:$J,MATCH(IO_DB[[#This Row],[Manufacturing Country]],'LW2023-24 | VI'!$C:$C,0)))</f>
        <v>0</v>
      </c>
      <c r="AI5" s="237">
        <f>IF(IO_DB[[#This Row],[Variable]]="Jobs Created FTEs Low-skilled in 1000 Persons",IO_DB[[#This Row],[Value]],0)*1000*MAX(0,INDEX('LW2023-24 | VI'!$J:$J,MATCH(IO_DB[[#This Row],[Manufacturing Country]],'LW2023-24 | VI'!$C:$C,0))-INDEX('Wages | VI '!$Z:$Z,MATCH(IO_DB[[#This Row],[Manufacturing Country]],'Wages | VI '!$A:$A,0)))</f>
        <v>0</v>
      </c>
      <c r="AJ5" s="237">
        <f>IF(IO_DB[[#This Row],[Variable]]="Jobs Created FTEs Medium-skilled in 1000 Persons",IO_DB[[#This Row],[Value]],0)*1000*MAX(0,INDEX('LW2023-24 | VI'!$J:$J,MATCH(IO_DB[[#This Row],[Manufacturing Country]],'LW2023-24 | VI'!$C:$C,0))-INDEX('Wages | VI '!$AA:$AA,MATCH(IO_DB[[#This Row],[Manufacturing Country]],'Wages | VI '!$A:$A,0)))</f>
        <v>0</v>
      </c>
      <c r="AK5" s="237">
        <f>IF(IO_DB[[#This Row],[Variable]]="Jobs Created FTEs High-skilled in 1000 Persons",IO_DB[[#This Row],[Value]],0)*1000*MAX(0,INDEX('LW2023-24 | VI'!$J:$J,MATCH(IO_DB[[#This Row],[Manufacturing Country]],'LW2023-24 | VI'!$C:$C,0))-INDEX('Wages | VI '!$AB:$AB,MATCH(IO_DB[[#This Row],[Manufacturing Country]],'Wages | VI '!$A:$A,0)))</f>
        <v>0</v>
      </c>
      <c r="AL5" s="222">
        <f>IF(IO_DB[[#This Row],[Variable]]="Gender Pay Gap in USD",IO_DB[[#This Row],[Value]],0)</f>
        <v>0</v>
      </c>
      <c r="AM5" s="222">
        <f>IF(IO_DB[[#This Row],[Variable]]="Disability Pay Gap in USD",IO_DB[[#This Row],[Value]],0)</f>
        <v>0</v>
      </c>
      <c r="AN5" s="222">
        <f>IF(IO_DB[[#This Row],[Variable]]="Child Labor in Children",IO_DB[[#This Row],[Value]],0)*INDEX('EDU | VI'!$K:$M,MATCH(IO_DB[[#This Row],[Manufacturing Country]],'EDU | VI'!$A:$A,0),2)*'Parameters | Agora'!$B$22</f>
        <v>0</v>
      </c>
      <c r="AO5" s="222">
        <f>IF(IO_DB[[#This Row],[Variable]]="Human Capital / Training in Hours",IO_DB[[#This Row],[Value]],0)*INDEX('EDU | VI'!$K:$M,MATCH(IO_DB[[#This Row],[Manufacturing Country]],'EDU | VI'!$A:$A,0),2)</f>
        <v>0</v>
      </c>
      <c r="AP5" s="237">
        <f>IF(IO_DB[[#This Row],[Variable]]="Forced Labor in Persons",IO_DB[[#This Row],[Value]],0)*'Parameters | Agora'!$B$41</f>
        <v>1.7343568988653495E-8</v>
      </c>
      <c r="AQ5" s="222">
        <f>IF(IO_DB[[#This Row],[Variable]]="OHS Injury Total in Cases",IO_DB[[#This Row],[Value]],0)*INDEX('HEALTH | VI'!$L:$L,MATCH(IO_DB[[#This Row],[Manufacturing Country]],'HEALTH | VI'!$A:$A,0))</f>
        <v>0</v>
      </c>
      <c r="AR5" s="222">
        <f>IF(IO_DB[[#This Row],[Variable]]="OHS Disease/Illness Total in Cases",IO_DB[[#This Row],[Value]],0)*'Parameters | Agora'!$B$47</f>
        <v>0</v>
      </c>
      <c r="AS5" s="222">
        <f>IF(IO_DB[[#This Row],[Variable]]="Freedom of Association in Cases",IO_DB[[#This Row],[Value]],0)*'Parameters | Agora'!$B$51*INDEX('Wages | VI '!$Z:$AB,MATCH(IO_DB[[#This Row],[Manufacturing Country]],'Wages | VI '!$A:$A,0),1)</f>
        <v>0</v>
      </c>
      <c r="AT5" s="222">
        <f>IF(IO_DB[[#This Row],[Variable]]="Working Overtime in Cases",IO_DB[[#This Row],[Value]],0)*'Parameters | Agora'!$B$57</f>
        <v>0</v>
      </c>
      <c r="AU5" s="222">
        <f>IF(IO_DB[[#This Row],[Variable]]="Corporate Income Taxes (IMF Tax Revenue Database) in USD",IO_DB[[#This Row],[Value]],0)</f>
        <v>0</v>
      </c>
      <c r="AV5" s="222">
        <f>IF(IO_DB[[#This Row],[Variable]]="Personal Income Taxes (Collecting Taxes Database) in USD",IO_DB[[#This Row],[Value]],0)</f>
        <v>0</v>
      </c>
    </row>
    <row r="6" spans="1:48" ht="15.6">
      <c r="A6" t="s">
        <v>2038</v>
      </c>
      <c r="B6" t="s">
        <v>42</v>
      </c>
      <c r="C6" t="s">
        <v>2037</v>
      </c>
      <c r="D6" t="s">
        <v>2468</v>
      </c>
      <c r="E6" t="s">
        <v>612</v>
      </c>
      <c r="F6" t="s">
        <v>2469</v>
      </c>
      <c r="G6" t="s">
        <v>1727</v>
      </c>
      <c r="H6" t="s">
        <v>1728</v>
      </c>
      <c r="I6" t="s">
        <v>1728</v>
      </c>
      <c r="J6" t="s">
        <v>1728</v>
      </c>
      <c r="K6">
        <v>6.317824083184547E-7</v>
      </c>
      <c r="L6" t="s">
        <v>1774</v>
      </c>
      <c r="M6" s="222" cm="1">
        <f t="array" ref="M6">IFERROR(INDEX('LCA-IO'!$C$2:$C$175,MATCH($A6&amp;M$1,'LCA-IO'!$B$2:$B$175&amp;'LCA-IO'!$D$2:$D$175,0)),0)*$K6</f>
        <v>0</v>
      </c>
      <c r="N6" s="222" cm="1">
        <f t="array" ref="N6">IFERROR(INDEX('LCA-IO'!$C$2:$C$175,MATCH($A6&amp;N$1,'LCA-IO'!$B$2:$B$175&amp;'LCA-IO'!$D$2:$D$175,0)),0)*$K6</f>
        <v>0</v>
      </c>
      <c r="O6" s="222" cm="1">
        <f t="array" ref="O6">IFERROR(INDEX('LCA-IO'!$C$2:$C$175,MATCH($A6&amp;O$1,'LCA-IO'!$B$2:$B$175&amp;'LCA-IO'!$D$2:$D$175,0)),0)*$K6</f>
        <v>0</v>
      </c>
      <c r="P6" s="222" cm="1">
        <f t="array" ref="P6">IFERROR(INDEX('LCA-IO'!$C$2:$C$175,MATCH($A6&amp;P$1,'LCA-IO'!$B$2:$B$175&amp;'LCA-IO'!$D$2:$D$175,0)),0)*$K6</f>
        <v>0</v>
      </c>
      <c r="Q6" s="222" cm="1">
        <f t="array" ref="Q6">IFERROR(INDEX('LCA-IO'!$C$2:$C$175,MATCH($A6&amp;Q$1,'LCA-IO'!$B$2:$B$175&amp;'LCA-IO'!$D$2:$D$175,0)),0)*$K6</f>
        <v>0</v>
      </c>
      <c r="R6" s="222" cm="1">
        <f t="array" ref="R6">IFERROR(INDEX('LCA-IO'!$C$2:$C$175,MATCH($A6&amp;R$1,'LCA-IO'!$B$2:$B$175&amp;'LCA-IO'!$D$2:$D$175,0)),0)*$K6</f>
        <v>0</v>
      </c>
      <c r="S6" s="222" cm="1">
        <f t="array" ref="S6">IFERROR(INDEX('LCA-IO'!$C$2:$C$175,MATCH($A6&amp;S$1,'LCA-IO'!$B$2:$B$175&amp;'LCA-IO'!$D$2:$D$175,0)),0)*$K6</f>
        <v>0</v>
      </c>
      <c r="T6" s="222" cm="1">
        <f t="array" ref="T6">IFERROR(INDEX('LCA-IO'!$C$2:$C$175,MATCH($A6&amp;T$1,'LCA-IO'!$B$2:$B$175&amp;'LCA-IO'!$D$2:$D$175,0)),0)*$K6</f>
        <v>0</v>
      </c>
      <c r="U6" s="222" cm="1">
        <f t="array" ref="U6">IFERROR(INDEX('LCA-IO'!$C$2:$C$175,MATCH($A6&amp;U$1,'LCA-IO'!$B$2:$B$175&amp;'LCA-IO'!$D$2:$D$175,0)),0)*$K6</f>
        <v>0</v>
      </c>
      <c r="V6" s="222" cm="1">
        <f t="array" ref="V6">IFERROR(INDEX('LCA-IO'!$C$2:$C$175,MATCH($A6&amp;V$1,'LCA-IO'!$B$2:$B$175&amp;'LCA-IO'!$D$2:$D$175,0)),0)*$K6</f>
        <v>0</v>
      </c>
      <c r="W6" s="222" cm="1">
        <f t="array" ref="W6">IFERROR(INDEX('LCA-IO'!$C$2:$C$175,MATCH($A6&amp;W$1,'LCA-IO'!$B$2:$B$175&amp;'LCA-IO'!$D$2:$D$175,0)),0)*$K6</f>
        <v>0</v>
      </c>
      <c r="X6" s="222" cm="1">
        <f t="array" ref="X6">IFERROR(INDEX('LCA-IO'!$C$2:$C$175,MATCH($A6&amp;X$1,'LCA-IO'!$B$2:$B$175&amp;'LCA-IO'!$D$2:$D$175,0)),0)*$K6</f>
        <v>0</v>
      </c>
      <c r="Y6" s="222" cm="1">
        <f t="array" ref="Y6">IFERROR(INDEX('LCA-IO'!$C$2:$C$175,MATCH($A6&amp;Y$1,'LCA-IO'!$B$2:$B$175&amp;'LCA-IO'!$D$2:$D$175,0)),0)*$K6</f>
        <v>0</v>
      </c>
      <c r="Z6" s="222" cm="1">
        <f t="array" ref="Z6">IFERROR(INDEX('LCA-IO'!$C$2:$C$175,MATCH($A6&amp;Z$1,'LCA-IO'!$B$2:$B$175&amp;'LCA-IO'!$D$2:$D$175,0)),0)*$K6</f>
        <v>0</v>
      </c>
      <c r="AA6" s="222" cm="1">
        <f t="array" ref="AA6">IFERROR(INDEX('LCA-IO'!$C$2:$C$175,MATCH($A6&amp;AA$1,'LCA-IO'!$B$2:$B$175&amp;'LCA-IO'!$D$2:$D$175,0)),0)*$K6</f>
        <v>0</v>
      </c>
      <c r="AB6" s="222" cm="1">
        <f t="array" ref="AB6">IFERROR(INDEX('LCA-IO'!$C$2:$C$175,MATCH($A6&amp;AB$1,'LCA-IO'!$B$2:$B$175&amp;'LCA-IO'!$D$2:$D$175,0)),0)*$K6</f>
        <v>0</v>
      </c>
      <c r="AC6" s="222" cm="1">
        <f t="array" ref="AC6">IFERROR(INDEX('LCA-IO'!$C$2:$C$175,MATCH($A6&amp;AC$1,'LCA-IO'!$B$2:$B$175&amp;'LCA-IO'!$D$2:$D$175,0)),0)*$K6</f>
        <v>0</v>
      </c>
      <c r="AD6" s="222" cm="1">
        <f t="array" ref="AD6">IFERROR(INDEX('LCA-IO'!$C$2:$C$175,MATCH($A6&amp;AD$1,'LCA-IO'!$B$2:$B$175&amp;'LCA-IO'!$D$2:$D$175,0)),0)*$K6</f>
        <v>0</v>
      </c>
      <c r="AE6" s="223" cm="1">
        <f t="array" ref="AE6">IFERROR(INDEX('LCA-IO'!$C$2:$C$175,MATCH($A6&amp;AE$1,'LCA-IO'!$B$2:$B$175&amp;'LCA-IO'!$D$2:$D$175,0)),0)*$K6</f>
        <v>0</v>
      </c>
      <c r="AF6" s="237">
        <f>IF(IO_DB[[#This Row],[Variable]]="Jobs Created FTEs Low-skilled in 1000 Persons",IO_DB[[#This Row],[Value]],0)*1000*MIN(INDEX('Wages | VI '!$Z:$Z,MATCH(IO_DB[[#This Row],[Manufacturing Country]],'Wages | VI '!$A:$A,0)),4*INDEX('LW2023-24 | VI'!$J:$J,MATCH(IO_DB[[#This Row],[Manufacturing Country]],'LW2023-24 | VI'!$C:$C,0)))</f>
        <v>0</v>
      </c>
      <c r="AG6" s="237">
        <f>IF(IO_DB[[#This Row],[Variable]]="Jobs Created FTEs Medium-skilled in 1000 Persons",IO_DB[[#This Row],[Value]],0)*1000*MIN(INDEX('Wages | VI '!$AA:$AA,MATCH(IO_DB[[#This Row],[Manufacturing Country]],'Wages | VI '!$A:$A,0)),4*INDEX('LW2023-24 | VI'!$J:$J,MATCH(IO_DB[[#This Row],[Manufacturing Country]],'LW2023-24 | VI'!$C:$C,0)))</f>
        <v>0</v>
      </c>
      <c r="AH6" s="237">
        <f>IF(IO_DB[[#This Row],[Variable]]="Jobs Created FTEs High-skilled in 1000 Persons",IO_DB[[#This Row],[Value]],0)*1000*MIN(INDEX('Wages | VI '!$AB:$AB,MATCH(IO_DB[[#This Row],[Manufacturing Country]],'Wages | VI '!$A:$A,0)),4*INDEX('LW2023-24 | VI'!$J:$J,MATCH(IO_DB[[#This Row],[Manufacturing Country]],'LW2023-24 | VI'!$C:$C,0)))</f>
        <v>0</v>
      </c>
      <c r="AI6" s="237">
        <f>IF(IO_DB[[#This Row],[Variable]]="Jobs Created FTEs Low-skilled in 1000 Persons",IO_DB[[#This Row],[Value]],0)*1000*MAX(0,INDEX('LW2023-24 | VI'!$J:$J,MATCH(IO_DB[[#This Row],[Manufacturing Country]],'LW2023-24 | VI'!$C:$C,0))-INDEX('Wages | VI '!$Z:$Z,MATCH(IO_DB[[#This Row],[Manufacturing Country]],'Wages | VI '!$A:$A,0)))</f>
        <v>0</v>
      </c>
      <c r="AJ6" s="237">
        <f>IF(IO_DB[[#This Row],[Variable]]="Jobs Created FTEs Medium-skilled in 1000 Persons",IO_DB[[#This Row],[Value]],0)*1000*MAX(0,INDEX('LW2023-24 | VI'!$J:$J,MATCH(IO_DB[[#This Row],[Manufacturing Country]],'LW2023-24 | VI'!$C:$C,0))-INDEX('Wages | VI '!$AA:$AA,MATCH(IO_DB[[#This Row],[Manufacturing Country]],'Wages | VI '!$A:$A,0)))</f>
        <v>0</v>
      </c>
      <c r="AK6" s="237">
        <f>IF(IO_DB[[#This Row],[Variable]]="Jobs Created FTEs High-skilled in 1000 Persons",IO_DB[[#This Row],[Value]],0)*1000*MAX(0,INDEX('LW2023-24 | VI'!$J:$J,MATCH(IO_DB[[#This Row],[Manufacturing Country]],'LW2023-24 | VI'!$C:$C,0))-INDEX('Wages | VI '!$AB:$AB,MATCH(IO_DB[[#This Row],[Manufacturing Country]],'Wages | VI '!$A:$A,0)))</f>
        <v>0</v>
      </c>
      <c r="AL6" s="222">
        <f>IF(IO_DB[[#This Row],[Variable]]="Gender Pay Gap in USD",IO_DB[[#This Row],[Value]],0)</f>
        <v>0</v>
      </c>
      <c r="AM6" s="222">
        <f>IF(IO_DB[[#This Row],[Variable]]="Disability Pay Gap in USD",IO_DB[[#This Row],[Value]],0)</f>
        <v>0</v>
      </c>
      <c r="AN6" s="222">
        <f>IF(IO_DB[[#This Row],[Variable]]="Child Labor in Children",IO_DB[[#This Row],[Value]],0)*INDEX('EDU | VI'!$K:$M,MATCH(IO_DB[[#This Row],[Manufacturing Country]],'EDU | VI'!$A:$A,0),2)*'Parameters | Agora'!$B$22</f>
        <v>0</v>
      </c>
      <c r="AO6" s="222">
        <f>IF(IO_DB[[#This Row],[Variable]]="Human Capital / Training in Hours",IO_DB[[#This Row],[Value]],0)*INDEX('EDU | VI'!$K:$M,MATCH(IO_DB[[#This Row],[Manufacturing Country]],'EDU | VI'!$A:$A,0),2)</f>
        <v>0</v>
      </c>
      <c r="AP6" s="237">
        <f>IF(IO_DB[[#This Row],[Variable]]="Forced Labor in Persons",IO_DB[[#This Row],[Value]],0)*'Parameters | Agora'!$B$41</f>
        <v>0</v>
      </c>
      <c r="AQ6" s="222">
        <f>IF(IO_DB[[#This Row],[Variable]]="OHS Injury Total in Cases",IO_DB[[#This Row],[Value]],0)*INDEX('HEALTH | VI'!$L:$L,MATCH(IO_DB[[#This Row],[Manufacturing Country]],'HEALTH | VI'!$A:$A,0))</f>
        <v>0</v>
      </c>
      <c r="AR6" s="222">
        <f>IF(IO_DB[[#This Row],[Variable]]="OHS Disease/Illness Total in Cases",IO_DB[[#This Row],[Value]],0)*'Parameters | Agora'!$B$47</f>
        <v>0</v>
      </c>
      <c r="AS6" s="222">
        <f>IF(IO_DB[[#This Row],[Variable]]="Freedom of Association in Cases",IO_DB[[#This Row],[Value]],0)*'Parameters | Agora'!$B$51*INDEX('Wages | VI '!$Z:$AB,MATCH(IO_DB[[#This Row],[Manufacturing Country]],'Wages | VI '!$A:$A,0),1)</f>
        <v>1.4546801110594965E-3</v>
      </c>
      <c r="AT6" s="222">
        <f>IF(IO_DB[[#This Row],[Variable]]="Working Overtime in Cases",IO_DB[[#This Row],[Value]],0)*'Parameters | Agora'!$B$57</f>
        <v>0</v>
      </c>
      <c r="AU6" s="222">
        <f>IF(IO_DB[[#This Row],[Variable]]="Corporate Income Taxes (IMF Tax Revenue Database) in USD",IO_DB[[#This Row],[Value]],0)</f>
        <v>0</v>
      </c>
      <c r="AV6" s="222">
        <f>IF(IO_DB[[#This Row],[Variable]]="Personal Income Taxes (Collecting Taxes Database) in USD",IO_DB[[#This Row],[Value]],0)</f>
        <v>0</v>
      </c>
    </row>
    <row r="7" spans="1:48" ht="15.6">
      <c r="A7" t="s">
        <v>1775</v>
      </c>
      <c r="B7" t="s">
        <v>42</v>
      </c>
      <c r="C7" t="s">
        <v>2037</v>
      </c>
      <c r="D7" t="s">
        <v>2468</v>
      </c>
      <c r="E7" t="s">
        <v>612</v>
      </c>
      <c r="F7" t="s">
        <v>2469</v>
      </c>
      <c r="G7" t="s">
        <v>1727</v>
      </c>
      <c r="H7" t="s">
        <v>1728</v>
      </c>
      <c r="I7" t="s">
        <v>1728</v>
      </c>
      <c r="J7" t="s">
        <v>1728</v>
      </c>
      <c r="K7">
        <v>3.6400882671421407E-2</v>
      </c>
      <c r="L7" t="s">
        <v>175</v>
      </c>
      <c r="M7" s="222" cm="1">
        <f t="array" ref="M7">IFERROR(INDEX('LCA-IO'!$C$2:$C$175,MATCH($A7&amp;M$1,'LCA-IO'!$B$2:$B$175&amp;'LCA-IO'!$D$2:$D$175,0)),0)*$K7</f>
        <v>0</v>
      </c>
      <c r="N7" s="222" cm="1">
        <f t="array" ref="N7">IFERROR(INDEX('LCA-IO'!$C$2:$C$175,MATCH($A7&amp;N$1,'LCA-IO'!$B$2:$B$175&amp;'LCA-IO'!$D$2:$D$175,0)),0)*$K7</f>
        <v>0</v>
      </c>
      <c r="O7" s="222" cm="1">
        <f t="array" ref="O7">IFERROR(INDEX('LCA-IO'!$C$2:$C$175,MATCH($A7&amp;O$1,'LCA-IO'!$B$2:$B$175&amp;'LCA-IO'!$D$2:$D$175,0)),0)*$K7</f>
        <v>0</v>
      </c>
      <c r="P7" s="222" cm="1">
        <f t="array" ref="P7">IFERROR(INDEX('LCA-IO'!$C$2:$C$175,MATCH($A7&amp;P$1,'LCA-IO'!$B$2:$B$175&amp;'LCA-IO'!$D$2:$D$175,0)),0)*$K7</f>
        <v>0</v>
      </c>
      <c r="Q7" s="222" cm="1">
        <f t="array" ref="Q7">IFERROR(INDEX('LCA-IO'!$C$2:$C$175,MATCH($A7&amp;Q$1,'LCA-IO'!$B$2:$B$175&amp;'LCA-IO'!$D$2:$D$175,0)),0)*$K7</f>
        <v>0</v>
      </c>
      <c r="R7" s="222" cm="1">
        <f t="array" ref="R7">IFERROR(INDEX('LCA-IO'!$C$2:$C$175,MATCH($A7&amp;R$1,'LCA-IO'!$B$2:$B$175&amp;'LCA-IO'!$D$2:$D$175,0)),0)*$K7</f>
        <v>0</v>
      </c>
      <c r="S7" s="222" cm="1">
        <f t="array" ref="S7">IFERROR(INDEX('LCA-IO'!$C$2:$C$175,MATCH($A7&amp;S$1,'LCA-IO'!$B$2:$B$175&amp;'LCA-IO'!$D$2:$D$175,0)),0)*$K7</f>
        <v>0</v>
      </c>
      <c r="T7" s="222" cm="1">
        <f t="array" ref="T7">IFERROR(INDEX('LCA-IO'!$C$2:$C$175,MATCH($A7&amp;T$1,'LCA-IO'!$B$2:$B$175&amp;'LCA-IO'!$D$2:$D$175,0)),0)*$K7</f>
        <v>0</v>
      </c>
      <c r="U7" s="222" cm="1">
        <f t="array" ref="U7">IFERROR(INDEX('LCA-IO'!$C$2:$C$175,MATCH($A7&amp;U$1,'LCA-IO'!$B$2:$B$175&amp;'LCA-IO'!$D$2:$D$175,0)),0)*$K7</f>
        <v>0</v>
      </c>
      <c r="V7" s="222" cm="1">
        <f t="array" ref="V7">IFERROR(INDEX('LCA-IO'!$C$2:$C$175,MATCH($A7&amp;V$1,'LCA-IO'!$B$2:$B$175&amp;'LCA-IO'!$D$2:$D$175,0)),0)*$K7</f>
        <v>0</v>
      </c>
      <c r="W7" s="222" cm="1">
        <f t="array" ref="W7">IFERROR(INDEX('LCA-IO'!$C$2:$C$175,MATCH($A7&amp;W$1,'LCA-IO'!$B$2:$B$175&amp;'LCA-IO'!$D$2:$D$175,0)),0)*$K7</f>
        <v>0</v>
      </c>
      <c r="X7" s="222" cm="1">
        <f t="array" ref="X7">IFERROR(INDEX('LCA-IO'!$C$2:$C$175,MATCH($A7&amp;X$1,'LCA-IO'!$B$2:$B$175&amp;'LCA-IO'!$D$2:$D$175,0)),0)*$K7</f>
        <v>0</v>
      </c>
      <c r="Y7" s="222" cm="1">
        <f t="array" ref="Y7">IFERROR(INDEX('LCA-IO'!$C$2:$C$175,MATCH($A7&amp;Y$1,'LCA-IO'!$B$2:$B$175&amp;'LCA-IO'!$D$2:$D$175,0)),0)*$K7</f>
        <v>0</v>
      </c>
      <c r="Z7" s="222" cm="1">
        <f t="array" ref="Z7">IFERROR(INDEX('LCA-IO'!$C$2:$C$175,MATCH($A7&amp;Z$1,'LCA-IO'!$B$2:$B$175&amp;'LCA-IO'!$D$2:$D$175,0)),0)*$K7</f>
        <v>0</v>
      </c>
      <c r="AA7" s="222" cm="1">
        <f t="array" ref="AA7">IFERROR(INDEX('LCA-IO'!$C$2:$C$175,MATCH($A7&amp;AA$1,'LCA-IO'!$B$2:$B$175&amp;'LCA-IO'!$D$2:$D$175,0)),0)*$K7</f>
        <v>0</v>
      </c>
      <c r="AB7" s="222" cm="1">
        <f t="array" ref="AB7">IFERROR(INDEX('LCA-IO'!$C$2:$C$175,MATCH($A7&amp;AB$1,'LCA-IO'!$B$2:$B$175&amp;'LCA-IO'!$D$2:$D$175,0)),0)*$K7</f>
        <v>0</v>
      </c>
      <c r="AC7" s="222" cm="1">
        <f t="array" ref="AC7">IFERROR(INDEX('LCA-IO'!$C$2:$C$175,MATCH($A7&amp;AC$1,'LCA-IO'!$B$2:$B$175&amp;'LCA-IO'!$D$2:$D$175,0)),0)*$K7</f>
        <v>0</v>
      </c>
      <c r="AD7" s="222" cm="1">
        <f t="array" ref="AD7">IFERROR(INDEX('LCA-IO'!$C$2:$C$175,MATCH($A7&amp;AD$1,'LCA-IO'!$B$2:$B$175&amp;'LCA-IO'!$D$2:$D$175,0)),0)*$K7</f>
        <v>0</v>
      </c>
      <c r="AE7" s="223" cm="1">
        <f t="array" ref="AE7">IFERROR(INDEX('LCA-IO'!$C$2:$C$175,MATCH($A7&amp;AE$1,'LCA-IO'!$B$2:$B$175&amp;'LCA-IO'!$D$2:$D$175,0)),0)*$K7</f>
        <v>0</v>
      </c>
      <c r="AF7" s="237">
        <f>IF(IO_DB[[#This Row],[Variable]]="Jobs Created FTEs Low-skilled in 1000 Persons",IO_DB[[#This Row],[Value]],0)*1000*MIN(INDEX('Wages | VI '!$Z:$Z,MATCH(IO_DB[[#This Row],[Manufacturing Country]],'Wages | VI '!$A:$A,0)),4*INDEX('LW2023-24 | VI'!$J:$J,MATCH(IO_DB[[#This Row],[Manufacturing Country]],'LW2023-24 | VI'!$C:$C,0)))</f>
        <v>0</v>
      </c>
      <c r="AG7" s="237">
        <f>IF(IO_DB[[#This Row],[Variable]]="Jobs Created FTEs Medium-skilled in 1000 Persons",IO_DB[[#This Row],[Value]],0)*1000*MIN(INDEX('Wages | VI '!$AA:$AA,MATCH(IO_DB[[#This Row],[Manufacturing Country]],'Wages | VI '!$A:$A,0)),4*INDEX('LW2023-24 | VI'!$J:$J,MATCH(IO_DB[[#This Row],[Manufacturing Country]],'LW2023-24 | VI'!$C:$C,0)))</f>
        <v>0</v>
      </c>
      <c r="AH7" s="237">
        <f>IF(IO_DB[[#This Row],[Variable]]="Jobs Created FTEs High-skilled in 1000 Persons",IO_DB[[#This Row],[Value]],0)*1000*MIN(INDEX('Wages | VI '!$AB:$AB,MATCH(IO_DB[[#This Row],[Manufacturing Country]],'Wages | VI '!$A:$A,0)),4*INDEX('LW2023-24 | VI'!$J:$J,MATCH(IO_DB[[#This Row],[Manufacturing Country]],'LW2023-24 | VI'!$C:$C,0)))</f>
        <v>0</v>
      </c>
      <c r="AI7" s="237">
        <f>IF(IO_DB[[#This Row],[Variable]]="Jobs Created FTEs Low-skilled in 1000 Persons",IO_DB[[#This Row],[Value]],0)*1000*MAX(0,INDEX('LW2023-24 | VI'!$J:$J,MATCH(IO_DB[[#This Row],[Manufacturing Country]],'LW2023-24 | VI'!$C:$C,0))-INDEX('Wages | VI '!$Z:$Z,MATCH(IO_DB[[#This Row],[Manufacturing Country]],'Wages | VI '!$A:$A,0)))</f>
        <v>0</v>
      </c>
      <c r="AJ7" s="237">
        <f>IF(IO_DB[[#This Row],[Variable]]="Jobs Created FTEs Medium-skilled in 1000 Persons",IO_DB[[#This Row],[Value]],0)*1000*MAX(0,INDEX('LW2023-24 | VI'!$J:$J,MATCH(IO_DB[[#This Row],[Manufacturing Country]],'LW2023-24 | VI'!$C:$C,0))-INDEX('Wages | VI '!$AA:$AA,MATCH(IO_DB[[#This Row],[Manufacturing Country]],'Wages | VI '!$A:$A,0)))</f>
        <v>0</v>
      </c>
      <c r="AK7" s="237">
        <f>IF(IO_DB[[#This Row],[Variable]]="Jobs Created FTEs High-skilled in 1000 Persons",IO_DB[[#This Row],[Value]],0)*1000*MAX(0,INDEX('LW2023-24 | VI'!$J:$J,MATCH(IO_DB[[#This Row],[Manufacturing Country]],'LW2023-24 | VI'!$C:$C,0))-INDEX('Wages | VI '!$AB:$AB,MATCH(IO_DB[[#This Row],[Manufacturing Country]],'Wages | VI '!$A:$A,0)))</f>
        <v>0</v>
      </c>
      <c r="AL7" s="222">
        <f>IF(IO_DB[[#This Row],[Variable]]="Gender Pay Gap in USD",IO_DB[[#This Row],[Value]],0)</f>
        <v>3.6400882671421407E-2</v>
      </c>
      <c r="AM7" s="222">
        <f>IF(IO_DB[[#This Row],[Variable]]="Disability Pay Gap in USD",IO_DB[[#This Row],[Value]],0)</f>
        <v>0</v>
      </c>
      <c r="AN7" s="222">
        <f>IF(IO_DB[[#This Row],[Variable]]="Child Labor in Children",IO_DB[[#This Row],[Value]],0)*INDEX('EDU | VI'!$K:$M,MATCH(IO_DB[[#This Row],[Manufacturing Country]],'EDU | VI'!$A:$A,0),2)*'Parameters | Agora'!$B$22</f>
        <v>0</v>
      </c>
      <c r="AO7" s="222">
        <f>IF(IO_DB[[#This Row],[Variable]]="Human Capital / Training in Hours",IO_DB[[#This Row],[Value]],0)*INDEX('EDU | VI'!$K:$M,MATCH(IO_DB[[#This Row],[Manufacturing Country]],'EDU | VI'!$A:$A,0),2)</f>
        <v>0</v>
      </c>
      <c r="AP7" s="237">
        <f>IF(IO_DB[[#This Row],[Variable]]="Forced Labor in Persons",IO_DB[[#This Row],[Value]],0)*'Parameters | Agora'!$B$41</f>
        <v>0</v>
      </c>
      <c r="AQ7" s="222">
        <f>IF(IO_DB[[#This Row],[Variable]]="OHS Injury Total in Cases",IO_DB[[#This Row],[Value]],0)*INDEX('HEALTH | VI'!$L:$L,MATCH(IO_DB[[#This Row],[Manufacturing Country]],'HEALTH | VI'!$A:$A,0))</f>
        <v>0</v>
      </c>
      <c r="AR7" s="222">
        <f>IF(IO_DB[[#This Row],[Variable]]="OHS Disease/Illness Total in Cases",IO_DB[[#This Row],[Value]],0)*'Parameters | Agora'!$B$47</f>
        <v>0</v>
      </c>
      <c r="AS7" s="222">
        <f>IF(IO_DB[[#This Row],[Variable]]="Freedom of Association in Cases",IO_DB[[#This Row],[Value]],0)*'Parameters | Agora'!$B$51*INDEX('Wages | VI '!$Z:$AB,MATCH(IO_DB[[#This Row],[Manufacturing Country]],'Wages | VI '!$A:$A,0),1)</f>
        <v>0</v>
      </c>
      <c r="AT7" s="222">
        <f>IF(IO_DB[[#This Row],[Variable]]="Working Overtime in Cases",IO_DB[[#This Row],[Value]],0)*'Parameters | Agora'!$B$57</f>
        <v>0</v>
      </c>
      <c r="AU7" s="222">
        <f>IF(IO_DB[[#This Row],[Variable]]="Corporate Income Taxes (IMF Tax Revenue Database) in USD",IO_DB[[#This Row],[Value]],0)</f>
        <v>0</v>
      </c>
      <c r="AV7" s="222">
        <f>IF(IO_DB[[#This Row],[Variable]]="Personal Income Taxes (Collecting Taxes Database) in USD",IO_DB[[#This Row],[Value]],0)</f>
        <v>0</v>
      </c>
    </row>
    <row r="8" spans="1:48" ht="15.6">
      <c r="A8" t="s">
        <v>1786</v>
      </c>
      <c r="B8" t="s">
        <v>42</v>
      </c>
      <c r="C8" t="s">
        <v>2037</v>
      </c>
      <c r="D8" t="s">
        <v>2468</v>
      </c>
      <c r="E8" t="s">
        <v>612</v>
      </c>
      <c r="F8" t="s">
        <v>2469</v>
      </c>
      <c r="G8" t="s">
        <v>1727</v>
      </c>
      <c r="H8" t="s">
        <v>1728</v>
      </c>
      <c r="I8" t="s">
        <v>1728</v>
      </c>
      <c r="J8" t="s">
        <v>1728</v>
      </c>
      <c r="K8">
        <v>6.0297762704530028E-5</v>
      </c>
      <c r="L8" t="s">
        <v>1787</v>
      </c>
      <c r="M8" s="222" cm="1">
        <f t="array" ref="M8">IFERROR(INDEX('LCA-IO'!$C$2:$C$175,MATCH($A8&amp;M$1,'LCA-IO'!$B$2:$B$175&amp;'LCA-IO'!$D$2:$D$175,0)),0)*$K8</f>
        <v>0</v>
      </c>
      <c r="N8" s="222" cm="1">
        <f t="array" ref="N8">IFERROR(INDEX('LCA-IO'!$C$2:$C$175,MATCH($A8&amp;N$1,'LCA-IO'!$B$2:$B$175&amp;'LCA-IO'!$D$2:$D$175,0)),0)*$K8</f>
        <v>0</v>
      </c>
      <c r="O8" s="222" cm="1">
        <f t="array" ref="O8">IFERROR(INDEX('LCA-IO'!$C$2:$C$175,MATCH($A8&amp;O$1,'LCA-IO'!$B$2:$B$175&amp;'LCA-IO'!$D$2:$D$175,0)),0)*$K8</f>
        <v>0</v>
      </c>
      <c r="P8" s="222" cm="1">
        <f t="array" ref="P8">IFERROR(INDEX('LCA-IO'!$C$2:$C$175,MATCH($A8&amp;P$1,'LCA-IO'!$B$2:$B$175&amp;'LCA-IO'!$D$2:$D$175,0)),0)*$K8</f>
        <v>0</v>
      </c>
      <c r="Q8" s="222" cm="1">
        <f t="array" ref="Q8">IFERROR(INDEX('LCA-IO'!$C$2:$C$175,MATCH($A8&amp;Q$1,'LCA-IO'!$B$2:$B$175&amp;'LCA-IO'!$D$2:$D$175,0)),0)*$K8</f>
        <v>0</v>
      </c>
      <c r="R8" s="222" cm="1">
        <f t="array" ref="R8">IFERROR(INDEX('LCA-IO'!$C$2:$C$175,MATCH($A8&amp;R$1,'LCA-IO'!$B$2:$B$175&amp;'LCA-IO'!$D$2:$D$175,0)),0)*$K8</f>
        <v>0</v>
      </c>
      <c r="S8" s="222" cm="1">
        <f t="array" ref="S8">IFERROR(INDEX('LCA-IO'!$C$2:$C$175,MATCH($A8&amp;S$1,'LCA-IO'!$B$2:$B$175&amp;'LCA-IO'!$D$2:$D$175,0)),0)*$K8</f>
        <v>0</v>
      </c>
      <c r="T8" s="222" cm="1">
        <f t="array" ref="T8">IFERROR(INDEX('LCA-IO'!$C$2:$C$175,MATCH($A8&amp;T$1,'LCA-IO'!$B$2:$B$175&amp;'LCA-IO'!$D$2:$D$175,0)),0)*$K8</f>
        <v>0</v>
      </c>
      <c r="U8" s="222" cm="1">
        <f t="array" ref="U8">IFERROR(INDEX('LCA-IO'!$C$2:$C$175,MATCH($A8&amp;U$1,'LCA-IO'!$B$2:$B$175&amp;'LCA-IO'!$D$2:$D$175,0)),0)*$K8</f>
        <v>0</v>
      </c>
      <c r="V8" s="222" cm="1">
        <f t="array" ref="V8">IFERROR(INDEX('LCA-IO'!$C$2:$C$175,MATCH($A8&amp;V$1,'LCA-IO'!$B$2:$B$175&amp;'LCA-IO'!$D$2:$D$175,0)),0)*$K8</f>
        <v>0</v>
      </c>
      <c r="W8" s="222" cm="1">
        <f t="array" ref="W8">IFERROR(INDEX('LCA-IO'!$C$2:$C$175,MATCH($A8&amp;W$1,'LCA-IO'!$B$2:$B$175&amp;'LCA-IO'!$D$2:$D$175,0)),0)*$K8</f>
        <v>0</v>
      </c>
      <c r="X8" s="222" cm="1">
        <f t="array" ref="X8">IFERROR(INDEX('LCA-IO'!$C$2:$C$175,MATCH($A8&amp;X$1,'LCA-IO'!$B$2:$B$175&amp;'LCA-IO'!$D$2:$D$175,0)),0)*$K8</f>
        <v>0</v>
      </c>
      <c r="Y8" s="222" cm="1">
        <f t="array" ref="Y8">IFERROR(INDEX('LCA-IO'!$C$2:$C$175,MATCH($A8&amp;Y$1,'LCA-IO'!$B$2:$B$175&amp;'LCA-IO'!$D$2:$D$175,0)),0)*$K8</f>
        <v>0</v>
      </c>
      <c r="Z8" s="222" cm="1">
        <f t="array" ref="Z8">IFERROR(INDEX('LCA-IO'!$C$2:$C$175,MATCH($A8&amp;Z$1,'LCA-IO'!$B$2:$B$175&amp;'LCA-IO'!$D$2:$D$175,0)),0)*$K8</f>
        <v>0</v>
      </c>
      <c r="AA8" s="222" cm="1">
        <f t="array" ref="AA8">IFERROR(INDEX('LCA-IO'!$C$2:$C$175,MATCH($A8&amp;AA$1,'LCA-IO'!$B$2:$B$175&amp;'LCA-IO'!$D$2:$D$175,0)),0)*$K8</f>
        <v>0</v>
      </c>
      <c r="AB8" s="222" cm="1">
        <f t="array" ref="AB8">IFERROR(INDEX('LCA-IO'!$C$2:$C$175,MATCH($A8&amp;AB$1,'LCA-IO'!$B$2:$B$175&amp;'LCA-IO'!$D$2:$D$175,0)),0)*$K8</f>
        <v>0</v>
      </c>
      <c r="AC8" s="222" cm="1">
        <f t="array" ref="AC8">IFERROR(INDEX('LCA-IO'!$C$2:$C$175,MATCH($A8&amp;AC$1,'LCA-IO'!$B$2:$B$175&amp;'LCA-IO'!$D$2:$D$175,0)),0)*$K8</f>
        <v>0</v>
      </c>
      <c r="AD8" s="222" cm="1">
        <f t="array" ref="AD8">IFERROR(INDEX('LCA-IO'!$C$2:$C$175,MATCH($A8&amp;AD$1,'LCA-IO'!$B$2:$B$175&amp;'LCA-IO'!$D$2:$D$175,0)),0)*$K8</f>
        <v>0</v>
      </c>
      <c r="AE8" s="223" cm="1">
        <f t="array" ref="AE8">IFERROR(INDEX('LCA-IO'!$C$2:$C$175,MATCH($A8&amp;AE$1,'LCA-IO'!$B$2:$B$175&amp;'LCA-IO'!$D$2:$D$175,0)),0)*$K8</f>
        <v>0</v>
      </c>
      <c r="AF8" s="237">
        <f>IF(IO_DB[[#This Row],[Variable]]="Jobs Created FTEs Low-skilled in 1000 Persons",IO_DB[[#This Row],[Value]],0)*1000*MIN(INDEX('Wages | VI '!$Z:$Z,MATCH(IO_DB[[#This Row],[Manufacturing Country]],'Wages | VI '!$A:$A,0)),4*INDEX('LW2023-24 | VI'!$J:$J,MATCH(IO_DB[[#This Row],[Manufacturing Country]],'LW2023-24 | VI'!$C:$C,0)))</f>
        <v>0</v>
      </c>
      <c r="AG8" s="237">
        <f>IF(IO_DB[[#This Row],[Variable]]="Jobs Created FTEs Medium-skilled in 1000 Persons",IO_DB[[#This Row],[Value]],0)*1000*MIN(INDEX('Wages | VI '!$AA:$AA,MATCH(IO_DB[[#This Row],[Manufacturing Country]],'Wages | VI '!$A:$A,0)),4*INDEX('LW2023-24 | VI'!$J:$J,MATCH(IO_DB[[#This Row],[Manufacturing Country]],'LW2023-24 | VI'!$C:$C,0)))</f>
        <v>0</v>
      </c>
      <c r="AH8" s="237">
        <f>IF(IO_DB[[#This Row],[Variable]]="Jobs Created FTEs High-skilled in 1000 Persons",IO_DB[[#This Row],[Value]],0)*1000*MIN(INDEX('Wages | VI '!$AB:$AB,MATCH(IO_DB[[#This Row],[Manufacturing Country]],'Wages | VI '!$A:$A,0)),4*INDEX('LW2023-24 | VI'!$J:$J,MATCH(IO_DB[[#This Row],[Manufacturing Country]],'LW2023-24 | VI'!$C:$C,0)))</f>
        <v>0</v>
      </c>
      <c r="AI8" s="237">
        <f>IF(IO_DB[[#This Row],[Variable]]="Jobs Created FTEs Low-skilled in 1000 Persons",IO_DB[[#This Row],[Value]],0)*1000*MAX(0,INDEX('LW2023-24 | VI'!$J:$J,MATCH(IO_DB[[#This Row],[Manufacturing Country]],'LW2023-24 | VI'!$C:$C,0))-INDEX('Wages | VI '!$Z:$Z,MATCH(IO_DB[[#This Row],[Manufacturing Country]],'Wages | VI '!$A:$A,0)))</f>
        <v>0</v>
      </c>
      <c r="AJ8" s="237">
        <f>IF(IO_DB[[#This Row],[Variable]]="Jobs Created FTEs Medium-skilled in 1000 Persons",IO_DB[[#This Row],[Value]],0)*1000*MAX(0,INDEX('LW2023-24 | VI'!$J:$J,MATCH(IO_DB[[#This Row],[Manufacturing Country]],'LW2023-24 | VI'!$C:$C,0))-INDEX('Wages | VI '!$AA:$AA,MATCH(IO_DB[[#This Row],[Manufacturing Country]],'Wages | VI '!$A:$A,0)))</f>
        <v>0</v>
      </c>
      <c r="AK8" s="237">
        <f>IF(IO_DB[[#This Row],[Variable]]="Jobs Created FTEs High-skilled in 1000 Persons",IO_DB[[#This Row],[Value]],0)*1000*MAX(0,INDEX('LW2023-24 | VI'!$J:$J,MATCH(IO_DB[[#This Row],[Manufacturing Country]],'LW2023-24 | VI'!$C:$C,0))-INDEX('Wages | VI '!$AB:$AB,MATCH(IO_DB[[#This Row],[Manufacturing Country]],'Wages | VI '!$A:$A,0)))</f>
        <v>0</v>
      </c>
      <c r="AL8" s="222">
        <f>IF(IO_DB[[#This Row],[Variable]]="Gender Pay Gap in USD",IO_DB[[#This Row],[Value]],0)</f>
        <v>0</v>
      </c>
      <c r="AM8" s="222">
        <f>IF(IO_DB[[#This Row],[Variable]]="Disability Pay Gap in USD",IO_DB[[#This Row],[Value]],0)</f>
        <v>0</v>
      </c>
      <c r="AN8" s="222">
        <f>IF(IO_DB[[#This Row],[Variable]]="Child Labor in Children",IO_DB[[#This Row],[Value]],0)*INDEX('EDU | VI'!$K:$M,MATCH(IO_DB[[#This Row],[Manufacturing Country]],'EDU | VI'!$A:$A,0),2)*'Parameters | Agora'!$B$22</f>
        <v>0</v>
      </c>
      <c r="AO8" s="222">
        <f>IF(IO_DB[[#This Row],[Variable]]="Human Capital / Training in Hours",IO_DB[[#This Row],[Value]],0)*INDEX('EDU | VI'!$K:$M,MATCH(IO_DB[[#This Row],[Manufacturing Country]],'EDU | VI'!$A:$A,0),2)</f>
        <v>1.6841276785898762E-3</v>
      </c>
      <c r="AP8" s="237">
        <f>IF(IO_DB[[#This Row],[Variable]]="Forced Labor in Persons",IO_DB[[#This Row],[Value]],0)*'Parameters | Agora'!$B$41</f>
        <v>0</v>
      </c>
      <c r="AQ8" s="222">
        <f>IF(IO_DB[[#This Row],[Variable]]="OHS Injury Total in Cases",IO_DB[[#This Row],[Value]],0)*INDEX('HEALTH | VI'!$L:$L,MATCH(IO_DB[[#This Row],[Manufacturing Country]],'HEALTH | VI'!$A:$A,0))</f>
        <v>0</v>
      </c>
      <c r="AR8" s="222">
        <f>IF(IO_DB[[#This Row],[Variable]]="OHS Disease/Illness Total in Cases",IO_DB[[#This Row],[Value]],0)*'Parameters | Agora'!$B$47</f>
        <v>0</v>
      </c>
      <c r="AS8" s="222">
        <f>IF(IO_DB[[#This Row],[Variable]]="Freedom of Association in Cases",IO_DB[[#This Row],[Value]],0)*'Parameters | Agora'!$B$51*INDEX('Wages | VI '!$Z:$AB,MATCH(IO_DB[[#This Row],[Manufacturing Country]],'Wages | VI '!$A:$A,0),1)</f>
        <v>0</v>
      </c>
      <c r="AT8" s="222">
        <f>IF(IO_DB[[#This Row],[Variable]]="Working Overtime in Cases",IO_DB[[#This Row],[Value]],0)*'Parameters | Agora'!$B$57</f>
        <v>0</v>
      </c>
      <c r="AU8" s="222">
        <f>IF(IO_DB[[#This Row],[Variable]]="Corporate Income Taxes (IMF Tax Revenue Database) in USD",IO_DB[[#This Row],[Value]],0)</f>
        <v>0</v>
      </c>
      <c r="AV8" s="222">
        <f>IF(IO_DB[[#This Row],[Variable]]="Personal Income Taxes (Collecting Taxes Database) in USD",IO_DB[[#This Row],[Value]],0)</f>
        <v>0</v>
      </c>
    </row>
    <row r="9" spans="1:48" ht="15.6">
      <c r="A9" t="s">
        <v>2474</v>
      </c>
      <c r="B9" t="s">
        <v>42</v>
      </c>
      <c r="C9" t="s">
        <v>1776</v>
      </c>
      <c r="D9" t="s">
        <v>2468</v>
      </c>
      <c r="E9" t="s">
        <v>612</v>
      </c>
      <c r="F9" t="s">
        <v>2469</v>
      </c>
      <c r="G9" t="s">
        <v>1727</v>
      </c>
      <c r="H9" t="s">
        <v>1728</v>
      </c>
      <c r="I9" t="s">
        <v>1728</v>
      </c>
      <c r="J9" t="s">
        <v>1728</v>
      </c>
      <c r="K9">
        <v>2.1232590104565188E-9</v>
      </c>
      <c r="L9" t="s">
        <v>1777</v>
      </c>
      <c r="M9" s="222" cm="1">
        <f t="array" ref="M9">IFERROR(INDEX('LCA-IO'!$C$2:$C$175,MATCH($A9&amp;M$1,'LCA-IO'!$B$2:$B$175&amp;'LCA-IO'!$D$2:$D$175,0)),0)*$K9</f>
        <v>0</v>
      </c>
      <c r="N9" s="222" cm="1">
        <f t="array" ref="N9">IFERROR(INDEX('LCA-IO'!$C$2:$C$175,MATCH($A9&amp;N$1,'LCA-IO'!$B$2:$B$175&amp;'LCA-IO'!$D$2:$D$175,0)),0)*$K9</f>
        <v>0</v>
      </c>
      <c r="O9" s="222" cm="1">
        <f t="array" ref="O9">IFERROR(INDEX('LCA-IO'!$C$2:$C$175,MATCH($A9&amp;O$1,'LCA-IO'!$B$2:$B$175&amp;'LCA-IO'!$D$2:$D$175,0)),0)*$K9</f>
        <v>0</v>
      </c>
      <c r="P9" s="222" cm="1">
        <f t="array" ref="P9">IFERROR(INDEX('LCA-IO'!$C$2:$C$175,MATCH($A9&amp;P$1,'LCA-IO'!$B$2:$B$175&amp;'LCA-IO'!$D$2:$D$175,0)),0)*$K9</f>
        <v>0</v>
      </c>
      <c r="Q9" s="222" cm="1">
        <f t="array" ref="Q9">IFERROR(INDEX('LCA-IO'!$C$2:$C$175,MATCH($A9&amp;Q$1,'LCA-IO'!$B$2:$B$175&amp;'LCA-IO'!$D$2:$D$175,0)),0)*$K9</f>
        <v>0</v>
      </c>
      <c r="R9" s="222" cm="1">
        <f t="array" ref="R9">IFERROR(INDEX('LCA-IO'!$C$2:$C$175,MATCH($A9&amp;R$1,'LCA-IO'!$B$2:$B$175&amp;'LCA-IO'!$D$2:$D$175,0)),0)*$K9</f>
        <v>0</v>
      </c>
      <c r="S9" s="222" cm="1">
        <f t="array" ref="S9">IFERROR(INDEX('LCA-IO'!$C$2:$C$175,MATCH($A9&amp;S$1,'LCA-IO'!$B$2:$B$175&amp;'LCA-IO'!$D$2:$D$175,0)),0)*$K9</f>
        <v>0</v>
      </c>
      <c r="T9" s="222" cm="1">
        <f t="array" ref="T9">IFERROR(INDEX('LCA-IO'!$C$2:$C$175,MATCH($A9&amp;T$1,'LCA-IO'!$B$2:$B$175&amp;'LCA-IO'!$D$2:$D$175,0)),0)*$K9</f>
        <v>0</v>
      </c>
      <c r="U9" s="222" cm="1">
        <f t="array" ref="U9">IFERROR(INDEX('LCA-IO'!$C$2:$C$175,MATCH($A9&amp;U$1,'LCA-IO'!$B$2:$B$175&amp;'LCA-IO'!$D$2:$D$175,0)),0)*$K9</f>
        <v>0</v>
      </c>
      <c r="V9" s="222" cm="1">
        <f t="array" ref="V9">IFERROR(INDEX('LCA-IO'!$C$2:$C$175,MATCH($A9&amp;V$1,'LCA-IO'!$B$2:$B$175&amp;'LCA-IO'!$D$2:$D$175,0)),0)*$K9</f>
        <v>0</v>
      </c>
      <c r="W9" s="222" cm="1">
        <f t="array" ref="W9">IFERROR(INDEX('LCA-IO'!$C$2:$C$175,MATCH($A9&amp;W$1,'LCA-IO'!$B$2:$B$175&amp;'LCA-IO'!$D$2:$D$175,0)),0)*$K9</f>
        <v>0</v>
      </c>
      <c r="X9" s="222" cm="1">
        <f t="array" ref="X9">IFERROR(INDEX('LCA-IO'!$C$2:$C$175,MATCH($A9&amp;X$1,'LCA-IO'!$B$2:$B$175&amp;'LCA-IO'!$D$2:$D$175,0)),0)*$K9</f>
        <v>0</v>
      </c>
      <c r="Y9" s="222" cm="1">
        <f t="array" ref="Y9">IFERROR(INDEX('LCA-IO'!$C$2:$C$175,MATCH($A9&amp;Y$1,'LCA-IO'!$B$2:$B$175&amp;'LCA-IO'!$D$2:$D$175,0)),0)*$K9</f>
        <v>0</v>
      </c>
      <c r="Z9" s="222" cm="1">
        <f t="array" ref="Z9">IFERROR(INDEX('LCA-IO'!$C$2:$C$175,MATCH($A9&amp;Z$1,'LCA-IO'!$B$2:$B$175&amp;'LCA-IO'!$D$2:$D$175,0)),0)*$K9</f>
        <v>0</v>
      </c>
      <c r="AA9" s="222" cm="1">
        <f t="array" ref="AA9">IFERROR(INDEX('LCA-IO'!$C$2:$C$175,MATCH($A9&amp;AA$1,'LCA-IO'!$B$2:$B$175&amp;'LCA-IO'!$D$2:$D$175,0)),0)*$K9</f>
        <v>0</v>
      </c>
      <c r="AB9" s="222" cm="1">
        <f t="array" ref="AB9">IFERROR(INDEX('LCA-IO'!$C$2:$C$175,MATCH($A9&amp;AB$1,'LCA-IO'!$B$2:$B$175&amp;'LCA-IO'!$D$2:$D$175,0)),0)*$K9</f>
        <v>0</v>
      </c>
      <c r="AC9" s="222" cm="1">
        <f t="array" ref="AC9">IFERROR(INDEX('LCA-IO'!$C$2:$C$175,MATCH($A9&amp;AC$1,'LCA-IO'!$B$2:$B$175&amp;'LCA-IO'!$D$2:$D$175,0)),0)*$K9</f>
        <v>0</v>
      </c>
      <c r="AD9" s="222" cm="1">
        <f t="array" ref="AD9">IFERROR(INDEX('LCA-IO'!$C$2:$C$175,MATCH($A9&amp;AD$1,'LCA-IO'!$B$2:$B$175&amp;'LCA-IO'!$D$2:$D$175,0)),0)*$K9</f>
        <v>0</v>
      </c>
      <c r="AE9" s="223" cm="1">
        <f t="array" ref="AE9">IFERROR(INDEX('LCA-IO'!$C$2:$C$175,MATCH($A9&amp;AE$1,'LCA-IO'!$B$2:$B$175&amp;'LCA-IO'!$D$2:$D$175,0)),0)*$K9</f>
        <v>0</v>
      </c>
      <c r="AF9" s="237">
        <f>IF(IO_DB[[#This Row],[Variable]]="Jobs Created FTEs Low-skilled in 1000 Persons",IO_DB[[#This Row],[Value]],0)*1000*MIN(INDEX('Wages | VI '!$Z:$Z,MATCH(IO_DB[[#This Row],[Manufacturing Country]],'Wages | VI '!$A:$A,0)),4*INDEX('LW2023-24 | VI'!$J:$J,MATCH(IO_DB[[#This Row],[Manufacturing Country]],'LW2023-24 | VI'!$C:$C,0)))</f>
        <v>0</v>
      </c>
      <c r="AG9" s="237">
        <f>IF(IO_DB[[#This Row],[Variable]]="Jobs Created FTEs Medium-skilled in 1000 Persons",IO_DB[[#This Row],[Value]],0)*1000*MIN(INDEX('Wages | VI '!$AA:$AA,MATCH(IO_DB[[#This Row],[Manufacturing Country]],'Wages | VI '!$A:$A,0)),4*INDEX('LW2023-24 | VI'!$J:$J,MATCH(IO_DB[[#This Row],[Manufacturing Country]],'LW2023-24 | VI'!$C:$C,0)))</f>
        <v>0</v>
      </c>
      <c r="AH9" s="237">
        <f>IF(IO_DB[[#This Row],[Variable]]="Jobs Created FTEs High-skilled in 1000 Persons",IO_DB[[#This Row],[Value]],0)*1000*MIN(INDEX('Wages | VI '!$AB:$AB,MATCH(IO_DB[[#This Row],[Manufacturing Country]],'Wages | VI '!$A:$A,0)),4*INDEX('LW2023-24 | VI'!$J:$J,MATCH(IO_DB[[#This Row],[Manufacturing Country]],'LW2023-24 | VI'!$C:$C,0)))</f>
        <v>0.12724403347028462</v>
      </c>
      <c r="AI9" s="237">
        <f>IF(IO_DB[[#This Row],[Variable]]="Jobs Created FTEs Low-skilled in 1000 Persons",IO_DB[[#This Row],[Value]],0)*1000*MAX(0,INDEX('LW2023-24 | VI'!$J:$J,MATCH(IO_DB[[#This Row],[Manufacturing Country]],'LW2023-24 | VI'!$C:$C,0))-INDEX('Wages | VI '!$Z:$Z,MATCH(IO_DB[[#This Row],[Manufacturing Country]],'Wages | VI '!$A:$A,0)))</f>
        <v>0</v>
      </c>
      <c r="AJ9" s="237">
        <f>IF(IO_DB[[#This Row],[Variable]]="Jobs Created FTEs Medium-skilled in 1000 Persons",IO_DB[[#This Row],[Value]],0)*1000*MAX(0,INDEX('LW2023-24 | VI'!$J:$J,MATCH(IO_DB[[#This Row],[Manufacturing Country]],'LW2023-24 | VI'!$C:$C,0))-INDEX('Wages | VI '!$AA:$AA,MATCH(IO_DB[[#This Row],[Manufacturing Country]],'Wages | VI '!$A:$A,0)))</f>
        <v>0</v>
      </c>
      <c r="AK9" s="237">
        <f>IF(IO_DB[[#This Row],[Variable]]="Jobs Created FTEs High-skilled in 1000 Persons",IO_DB[[#This Row],[Value]],0)*1000*MAX(0,INDEX('LW2023-24 | VI'!$J:$J,MATCH(IO_DB[[#This Row],[Manufacturing Country]],'LW2023-24 | VI'!$C:$C,0))-INDEX('Wages | VI '!$AB:$AB,MATCH(IO_DB[[#This Row],[Manufacturing Country]],'Wages | VI '!$A:$A,0)))</f>
        <v>0</v>
      </c>
      <c r="AL9" s="222">
        <f>IF(IO_DB[[#This Row],[Variable]]="Gender Pay Gap in USD",IO_DB[[#This Row],[Value]],0)</f>
        <v>0</v>
      </c>
      <c r="AM9" s="222">
        <f>IF(IO_DB[[#This Row],[Variable]]="Disability Pay Gap in USD",IO_DB[[#This Row],[Value]],0)</f>
        <v>0</v>
      </c>
      <c r="AN9" s="222">
        <f>IF(IO_DB[[#This Row],[Variable]]="Child Labor in Children",IO_DB[[#This Row],[Value]],0)*INDEX('EDU | VI'!$K:$M,MATCH(IO_DB[[#This Row],[Manufacturing Country]],'EDU | VI'!$A:$A,0),2)*'Parameters | Agora'!$B$22</f>
        <v>0</v>
      </c>
      <c r="AO9" s="222">
        <f>IF(IO_DB[[#This Row],[Variable]]="Human Capital / Training in Hours",IO_DB[[#This Row],[Value]],0)*INDEX('EDU | VI'!$K:$M,MATCH(IO_DB[[#This Row],[Manufacturing Country]],'EDU | VI'!$A:$A,0),2)</f>
        <v>0</v>
      </c>
      <c r="AP9" s="237">
        <f>IF(IO_DB[[#This Row],[Variable]]="Forced Labor in Persons",IO_DB[[#This Row],[Value]],0)*'Parameters | Agora'!$B$41</f>
        <v>0</v>
      </c>
      <c r="AQ9" s="222">
        <f>IF(IO_DB[[#This Row],[Variable]]="OHS Injury Total in Cases",IO_DB[[#This Row],[Value]],0)*INDEX('HEALTH | VI'!$L:$L,MATCH(IO_DB[[#This Row],[Manufacturing Country]],'HEALTH | VI'!$A:$A,0))</f>
        <v>0</v>
      </c>
      <c r="AR9" s="222">
        <f>IF(IO_DB[[#This Row],[Variable]]="OHS Disease/Illness Total in Cases",IO_DB[[#This Row],[Value]],0)*'Parameters | Agora'!$B$47</f>
        <v>0</v>
      </c>
      <c r="AS9" s="222">
        <f>IF(IO_DB[[#This Row],[Variable]]="Freedom of Association in Cases",IO_DB[[#This Row],[Value]],0)*'Parameters | Agora'!$B$51*INDEX('Wages | VI '!$Z:$AB,MATCH(IO_DB[[#This Row],[Manufacturing Country]],'Wages | VI '!$A:$A,0),1)</f>
        <v>0</v>
      </c>
      <c r="AT9" s="222">
        <f>IF(IO_DB[[#This Row],[Variable]]="Working Overtime in Cases",IO_DB[[#This Row],[Value]],0)*'Parameters | Agora'!$B$57</f>
        <v>0</v>
      </c>
      <c r="AU9" s="222">
        <f>IF(IO_DB[[#This Row],[Variable]]="Corporate Income Taxes (IMF Tax Revenue Database) in USD",IO_DB[[#This Row],[Value]],0)</f>
        <v>0</v>
      </c>
      <c r="AV9" s="222">
        <f>IF(IO_DB[[#This Row],[Variable]]="Personal Income Taxes (Collecting Taxes Database) in USD",IO_DB[[#This Row],[Value]],0)</f>
        <v>0</v>
      </c>
    </row>
    <row r="10" spans="1:48" ht="15.6">
      <c r="A10" t="s">
        <v>2475</v>
      </c>
      <c r="B10" t="s">
        <v>42</v>
      </c>
      <c r="C10" t="s">
        <v>1776</v>
      </c>
      <c r="D10" t="s">
        <v>2468</v>
      </c>
      <c r="E10" t="s">
        <v>612</v>
      </c>
      <c r="F10" t="s">
        <v>2469</v>
      </c>
      <c r="G10" t="s">
        <v>1727</v>
      </c>
      <c r="H10" t="s">
        <v>1728</v>
      </c>
      <c r="I10" t="s">
        <v>1728</v>
      </c>
      <c r="J10" t="s">
        <v>1728</v>
      </c>
      <c r="K10">
        <v>6.034135224070446E-9</v>
      </c>
      <c r="L10" t="s">
        <v>1777</v>
      </c>
      <c r="M10" s="222" cm="1">
        <f t="array" ref="M10">IFERROR(INDEX('LCA-IO'!$C$2:$C$175,MATCH($A10&amp;M$1,'LCA-IO'!$B$2:$B$175&amp;'LCA-IO'!$D$2:$D$175,0)),0)*$K10</f>
        <v>0</v>
      </c>
      <c r="N10" s="222" cm="1">
        <f t="array" ref="N10">IFERROR(INDEX('LCA-IO'!$C$2:$C$175,MATCH($A10&amp;N$1,'LCA-IO'!$B$2:$B$175&amp;'LCA-IO'!$D$2:$D$175,0)),0)*$K10</f>
        <v>0</v>
      </c>
      <c r="O10" s="222" cm="1">
        <f t="array" ref="O10">IFERROR(INDEX('LCA-IO'!$C$2:$C$175,MATCH($A10&amp;O$1,'LCA-IO'!$B$2:$B$175&amp;'LCA-IO'!$D$2:$D$175,0)),0)*$K10</f>
        <v>0</v>
      </c>
      <c r="P10" s="222" cm="1">
        <f t="array" ref="P10">IFERROR(INDEX('LCA-IO'!$C$2:$C$175,MATCH($A10&amp;P$1,'LCA-IO'!$B$2:$B$175&amp;'LCA-IO'!$D$2:$D$175,0)),0)*$K10</f>
        <v>0</v>
      </c>
      <c r="Q10" s="222" cm="1">
        <f t="array" ref="Q10">IFERROR(INDEX('LCA-IO'!$C$2:$C$175,MATCH($A10&amp;Q$1,'LCA-IO'!$B$2:$B$175&amp;'LCA-IO'!$D$2:$D$175,0)),0)*$K10</f>
        <v>0</v>
      </c>
      <c r="R10" s="222" cm="1">
        <f t="array" ref="R10">IFERROR(INDEX('LCA-IO'!$C$2:$C$175,MATCH($A10&amp;R$1,'LCA-IO'!$B$2:$B$175&amp;'LCA-IO'!$D$2:$D$175,0)),0)*$K10</f>
        <v>0</v>
      </c>
      <c r="S10" s="222" cm="1">
        <f t="array" ref="S10">IFERROR(INDEX('LCA-IO'!$C$2:$C$175,MATCH($A10&amp;S$1,'LCA-IO'!$B$2:$B$175&amp;'LCA-IO'!$D$2:$D$175,0)),0)*$K10</f>
        <v>0</v>
      </c>
      <c r="T10" s="222" cm="1">
        <f t="array" ref="T10">IFERROR(INDEX('LCA-IO'!$C$2:$C$175,MATCH($A10&amp;T$1,'LCA-IO'!$B$2:$B$175&amp;'LCA-IO'!$D$2:$D$175,0)),0)*$K10</f>
        <v>0</v>
      </c>
      <c r="U10" s="222" cm="1">
        <f t="array" ref="U10">IFERROR(INDEX('LCA-IO'!$C$2:$C$175,MATCH($A10&amp;U$1,'LCA-IO'!$B$2:$B$175&amp;'LCA-IO'!$D$2:$D$175,0)),0)*$K10</f>
        <v>0</v>
      </c>
      <c r="V10" s="222" cm="1">
        <f t="array" ref="V10">IFERROR(INDEX('LCA-IO'!$C$2:$C$175,MATCH($A10&amp;V$1,'LCA-IO'!$B$2:$B$175&amp;'LCA-IO'!$D$2:$D$175,0)),0)*$K10</f>
        <v>0</v>
      </c>
      <c r="W10" s="222" cm="1">
        <f t="array" ref="W10">IFERROR(INDEX('LCA-IO'!$C$2:$C$175,MATCH($A10&amp;W$1,'LCA-IO'!$B$2:$B$175&amp;'LCA-IO'!$D$2:$D$175,0)),0)*$K10</f>
        <v>0</v>
      </c>
      <c r="X10" s="222" cm="1">
        <f t="array" ref="X10">IFERROR(INDEX('LCA-IO'!$C$2:$C$175,MATCH($A10&amp;X$1,'LCA-IO'!$B$2:$B$175&amp;'LCA-IO'!$D$2:$D$175,0)),0)*$K10</f>
        <v>0</v>
      </c>
      <c r="Y10" s="222" cm="1">
        <f t="array" ref="Y10">IFERROR(INDEX('LCA-IO'!$C$2:$C$175,MATCH($A10&amp;Y$1,'LCA-IO'!$B$2:$B$175&amp;'LCA-IO'!$D$2:$D$175,0)),0)*$K10</f>
        <v>0</v>
      </c>
      <c r="Z10" s="222" cm="1">
        <f t="array" ref="Z10">IFERROR(INDEX('LCA-IO'!$C$2:$C$175,MATCH($A10&amp;Z$1,'LCA-IO'!$B$2:$B$175&amp;'LCA-IO'!$D$2:$D$175,0)),0)*$K10</f>
        <v>0</v>
      </c>
      <c r="AA10" s="222" cm="1">
        <f t="array" ref="AA10">IFERROR(INDEX('LCA-IO'!$C$2:$C$175,MATCH($A10&amp;AA$1,'LCA-IO'!$B$2:$B$175&amp;'LCA-IO'!$D$2:$D$175,0)),0)*$K10</f>
        <v>0</v>
      </c>
      <c r="AB10" s="222" cm="1">
        <f t="array" ref="AB10">IFERROR(INDEX('LCA-IO'!$C$2:$C$175,MATCH($A10&amp;AB$1,'LCA-IO'!$B$2:$B$175&amp;'LCA-IO'!$D$2:$D$175,0)),0)*$K10</f>
        <v>0</v>
      </c>
      <c r="AC10" s="222" cm="1">
        <f t="array" ref="AC10">IFERROR(INDEX('LCA-IO'!$C$2:$C$175,MATCH($A10&amp;AC$1,'LCA-IO'!$B$2:$B$175&amp;'LCA-IO'!$D$2:$D$175,0)),0)*$K10</f>
        <v>0</v>
      </c>
      <c r="AD10" s="222" cm="1">
        <f t="array" ref="AD10">IFERROR(INDEX('LCA-IO'!$C$2:$C$175,MATCH($A10&amp;AD$1,'LCA-IO'!$B$2:$B$175&amp;'LCA-IO'!$D$2:$D$175,0)),0)*$K10</f>
        <v>0</v>
      </c>
      <c r="AE10" s="223" cm="1">
        <f t="array" ref="AE10">IFERROR(INDEX('LCA-IO'!$C$2:$C$175,MATCH($A10&amp;AE$1,'LCA-IO'!$B$2:$B$175&amp;'LCA-IO'!$D$2:$D$175,0)),0)*$K10</f>
        <v>0</v>
      </c>
      <c r="AF10" s="237">
        <f>IF(IO_DB[[#This Row],[Variable]]="Jobs Created FTEs Low-skilled in 1000 Persons",IO_DB[[#This Row],[Value]],0)*1000*MIN(INDEX('Wages | VI '!$Z:$Z,MATCH(IO_DB[[#This Row],[Manufacturing Country]],'Wages | VI '!$A:$A,0)),4*INDEX('LW2023-24 | VI'!$J:$J,MATCH(IO_DB[[#This Row],[Manufacturing Country]],'LW2023-24 | VI'!$C:$C,0)))</f>
        <v>0.1068739000877697</v>
      </c>
      <c r="AG10" s="237">
        <f>IF(IO_DB[[#This Row],[Variable]]="Jobs Created FTEs Medium-skilled in 1000 Persons",IO_DB[[#This Row],[Value]],0)*1000*MIN(INDEX('Wages | VI '!$AA:$AA,MATCH(IO_DB[[#This Row],[Manufacturing Country]],'Wages | VI '!$A:$A,0)),4*INDEX('LW2023-24 | VI'!$J:$J,MATCH(IO_DB[[#This Row],[Manufacturing Country]],'LW2023-24 | VI'!$C:$C,0)))</f>
        <v>0</v>
      </c>
      <c r="AH10" s="237">
        <f>IF(IO_DB[[#This Row],[Variable]]="Jobs Created FTEs High-skilled in 1000 Persons",IO_DB[[#This Row],[Value]],0)*1000*MIN(INDEX('Wages | VI '!$AB:$AB,MATCH(IO_DB[[#This Row],[Manufacturing Country]],'Wages | VI '!$A:$A,0)),4*INDEX('LW2023-24 | VI'!$J:$J,MATCH(IO_DB[[#This Row],[Manufacturing Country]],'LW2023-24 | VI'!$C:$C,0)))</f>
        <v>0</v>
      </c>
      <c r="AI10" s="237">
        <f>IF(IO_DB[[#This Row],[Variable]]="Jobs Created FTEs Low-skilled in 1000 Persons",IO_DB[[#This Row],[Value]],0)*1000*MAX(0,INDEX('LW2023-24 | VI'!$J:$J,MATCH(IO_DB[[#This Row],[Manufacturing Country]],'LW2023-24 | VI'!$C:$C,0))-INDEX('Wages | VI '!$Z:$Z,MATCH(IO_DB[[#This Row],[Manufacturing Country]],'Wages | VI '!$A:$A,0)))</f>
        <v>0</v>
      </c>
      <c r="AJ10" s="237">
        <f>IF(IO_DB[[#This Row],[Variable]]="Jobs Created FTEs Medium-skilled in 1000 Persons",IO_DB[[#This Row],[Value]],0)*1000*MAX(0,INDEX('LW2023-24 | VI'!$J:$J,MATCH(IO_DB[[#This Row],[Manufacturing Country]],'LW2023-24 | VI'!$C:$C,0))-INDEX('Wages | VI '!$AA:$AA,MATCH(IO_DB[[#This Row],[Manufacturing Country]],'Wages | VI '!$A:$A,0)))</f>
        <v>0</v>
      </c>
      <c r="AK10" s="237">
        <f>IF(IO_DB[[#This Row],[Variable]]="Jobs Created FTEs High-skilled in 1000 Persons",IO_DB[[#This Row],[Value]],0)*1000*MAX(0,INDEX('LW2023-24 | VI'!$J:$J,MATCH(IO_DB[[#This Row],[Manufacturing Country]],'LW2023-24 | VI'!$C:$C,0))-INDEX('Wages | VI '!$AB:$AB,MATCH(IO_DB[[#This Row],[Manufacturing Country]],'Wages | VI '!$A:$A,0)))</f>
        <v>0</v>
      </c>
      <c r="AL10" s="222">
        <f>IF(IO_DB[[#This Row],[Variable]]="Gender Pay Gap in USD",IO_DB[[#This Row],[Value]],0)</f>
        <v>0</v>
      </c>
      <c r="AM10" s="222">
        <f>IF(IO_DB[[#This Row],[Variable]]="Disability Pay Gap in USD",IO_DB[[#This Row],[Value]],0)</f>
        <v>0</v>
      </c>
      <c r="AN10" s="222">
        <f>IF(IO_DB[[#This Row],[Variable]]="Child Labor in Children",IO_DB[[#This Row],[Value]],0)*INDEX('EDU | VI'!$K:$M,MATCH(IO_DB[[#This Row],[Manufacturing Country]],'EDU | VI'!$A:$A,0),2)*'Parameters | Agora'!$B$22</f>
        <v>0</v>
      </c>
      <c r="AO10" s="222">
        <f>IF(IO_DB[[#This Row],[Variable]]="Human Capital / Training in Hours",IO_DB[[#This Row],[Value]],0)*INDEX('EDU | VI'!$K:$M,MATCH(IO_DB[[#This Row],[Manufacturing Country]],'EDU | VI'!$A:$A,0),2)</f>
        <v>0</v>
      </c>
      <c r="AP10" s="237">
        <f>IF(IO_DB[[#This Row],[Variable]]="Forced Labor in Persons",IO_DB[[#This Row],[Value]],0)*'Parameters | Agora'!$B$41</f>
        <v>0</v>
      </c>
      <c r="AQ10" s="222">
        <f>IF(IO_DB[[#This Row],[Variable]]="OHS Injury Total in Cases",IO_DB[[#This Row],[Value]],0)*INDEX('HEALTH | VI'!$L:$L,MATCH(IO_DB[[#This Row],[Manufacturing Country]],'HEALTH | VI'!$A:$A,0))</f>
        <v>0</v>
      </c>
      <c r="AR10" s="222">
        <f>IF(IO_DB[[#This Row],[Variable]]="OHS Disease/Illness Total in Cases",IO_DB[[#This Row],[Value]],0)*'Parameters | Agora'!$B$47</f>
        <v>0</v>
      </c>
      <c r="AS10" s="222">
        <f>IF(IO_DB[[#This Row],[Variable]]="Freedom of Association in Cases",IO_DB[[#This Row],[Value]],0)*'Parameters | Agora'!$B$51*INDEX('Wages | VI '!$Z:$AB,MATCH(IO_DB[[#This Row],[Manufacturing Country]],'Wages | VI '!$A:$A,0),1)</f>
        <v>0</v>
      </c>
      <c r="AT10" s="222">
        <f>IF(IO_DB[[#This Row],[Variable]]="Working Overtime in Cases",IO_DB[[#This Row],[Value]],0)*'Parameters | Agora'!$B$57</f>
        <v>0</v>
      </c>
      <c r="AU10" s="222">
        <f>IF(IO_DB[[#This Row],[Variable]]="Corporate Income Taxes (IMF Tax Revenue Database) in USD",IO_DB[[#This Row],[Value]],0)</f>
        <v>0</v>
      </c>
      <c r="AV10" s="222">
        <f>IF(IO_DB[[#This Row],[Variable]]="Personal Income Taxes (Collecting Taxes Database) in USD",IO_DB[[#This Row],[Value]],0)</f>
        <v>0</v>
      </c>
    </row>
    <row r="11" spans="1:48" ht="15.6">
      <c r="A11" t="s">
        <v>2476</v>
      </c>
      <c r="B11" t="s">
        <v>42</v>
      </c>
      <c r="C11" t="s">
        <v>1776</v>
      </c>
      <c r="D11" t="s">
        <v>2468</v>
      </c>
      <c r="E11" t="s">
        <v>612</v>
      </c>
      <c r="F11" t="s">
        <v>2469</v>
      </c>
      <c r="G11" t="s">
        <v>1727</v>
      </c>
      <c r="H11" t="s">
        <v>1728</v>
      </c>
      <c r="I11" t="s">
        <v>1728</v>
      </c>
      <c r="J11" t="s">
        <v>1728</v>
      </c>
      <c r="K11">
        <v>9.5058603217870367E-9</v>
      </c>
      <c r="L11" t="s">
        <v>1777</v>
      </c>
      <c r="M11" s="222" cm="1">
        <f t="array" ref="M11">IFERROR(INDEX('LCA-IO'!$C$2:$C$175,MATCH($A11&amp;M$1,'LCA-IO'!$B$2:$B$175&amp;'LCA-IO'!$D$2:$D$175,0)),0)*$K11</f>
        <v>0</v>
      </c>
      <c r="N11" s="222" cm="1">
        <f t="array" ref="N11">IFERROR(INDEX('LCA-IO'!$C$2:$C$175,MATCH($A11&amp;N$1,'LCA-IO'!$B$2:$B$175&amp;'LCA-IO'!$D$2:$D$175,0)),0)*$K11</f>
        <v>0</v>
      </c>
      <c r="O11" s="222" cm="1">
        <f t="array" ref="O11">IFERROR(INDEX('LCA-IO'!$C$2:$C$175,MATCH($A11&amp;O$1,'LCA-IO'!$B$2:$B$175&amp;'LCA-IO'!$D$2:$D$175,0)),0)*$K11</f>
        <v>0</v>
      </c>
      <c r="P11" s="222" cm="1">
        <f t="array" ref="P11">IFERROR(INDEX('LCA-IO'!$C$2:$C$175,MATCH($A11&amp;P$1,'LCA-IO'!$B$2:$B$175&amp;'LCA-IO'!$D$2:$D$175,0)),0)*$K11</f>
        <v>0</v>
      </c>
      <c r="Q11" s="222" cm="1">
        <f t="array" ref="Q11">IFERROR(INDEX('LCA-IO'!$C$2:$C$175,MATCH($A11&amp;Q$1,'LCA-IO'!$B$2:$B$175&amp;'LCA-IO'!$D$2:$D$175,0)),0)*$K11</f>
        <v>0</v>
      </c>
      <c r="R11" s="222" cm="1">
        <f t="array" ref="R11">IFERROR(INDEX('LCA-IO'!$C$2:$C$175,MATCH($A11&amp;R$1,'LCA-IO'!$B$2:$B$175&amp;'LCA-IO'!$D$2:$D$175,0)),0)*$K11</f>
        <v>0</v>
      </c>
      <c r="S11" s="222" cm="1">
        <f t="array" ref="S11">IFERROR(INDEX('LCA-IO'!$C$2:$C$175,MATCH($A11&amp;S$1,'LCA-IO'!$B$2:$B$175&amp;'LCA-IO'!$D$2:$D$175,0)),0)*$K11</f>
        <v>0</v>
      </c>
      <c r="T11" s="222" cm="1">
        <f t="array" ref="T11">IFERROR(INDEX('LCA-IO'!$C$2:$C$175,MATCH($A11&amp;T$1,'LCA-IO'!$B$2:$B$175&amp;'LCA-IO'!$D$2:$D$175,0)),0)*$K11</f>
        <v>0</v>
      </c>
      <c r="U11" s="222" cm="1">
        <f t="array" ref="U11">IFERROR(INDEX('LCA-IO'!$C$2:$C$175,MATCH($A11&amp;U$1,'LCA-IO'!$B$2:$B$175&amp;'LCA-IO'!$D$2:$D$175,0)),0)*$K11</f>
        <v>0</v>
      </c>
      <c r="V11" s="222" cm="1">
        <f t="array" ref="V11">IFERROR(INDEX('LCA-IO'!$C$2:$C$175,MATCH($A11&amp;V$1,'LCA-IO'!$B$2:$B$175&amp;'LCA-IO'!$D$2:$D$175,0)),0)*$K11</f>
        <v>0</v>
      </c>
      <c r="W11" s="222" cm="1">
        <f t="array" ref="W11">IFERROR(INDEX('LCA-IO'!$C$2:$C$175,MATCH($A11&amp;W$1,'LCA-IO'!$B$2:$B$175&amp;'LCA-IO'!$D$2:$D$175,0)),0)*$K11</f>
        <v>0</v>
      </c>
      <c r="X11" s="222" cm="1">
        <f t="array" ref="X11">IFERROR(INDEX('LCA-IO'!$C$2:$C$175,MATCH($A11&amp;X$1,'LCA-IO'!$B$2:$B$175&amp;'LCA-IO'!$D$2:$D$175,0)),0)*$K11</f>
        <v>0</v>
      </c>
      <c r="Y11" s="222" cm="1">
        <f t="array" ref="Y11">IFERROR(INDEX('LCA-IO'!$C$2:$C$175,MATCH($A11&amp;Y$1,'LCA-IO'!$B$2:$B$175&amp;'LCA-IO'!$D$2:$D$175,0)),0)*$K11</f>
        <v>0</v>
      </c>
      <c r="Z11" s="222" cm="1">
        <f t="array" ref="Z11">IFERROR(INDEX('LCA-IO'!$C$2:$C$175,MATCH($A11&amp;Z$1,'LCA-IO'!$B$2:$B$175&amp;'LCA-IO'!$D$2:$D$175,0)),0)*$K11</f>
        <v>0</v>
      </c>
      <c r="AA11" s="222" cm="1">
        <f t="array" ref="AA11">IFERROR(INDEX('LCA-IO'!$C$2:$C$175,MATCH($A11&amp;AA$1,'LCA-IO'!$B$2:$B$175&amp;'LCA-IO'!$D$2:$D$175,0)),0)*$K11</f>
        <v>0</v>
      </c>
      <c r="AB11" s="222" cm="1">
        <f t="array" ref="AB11">IFERROR(INDEX('LCA-IO'!$C$2:$C$175,MATCH($A11&amp;AB$1,'LCA-IO'!$B$2:$B$175&amp;'LCA-IO'!$D$2:$D$175,0)),0)*$K11</f>
        <v>0</v>
      </c>
      <c r="AC11" s="222" cm="1">
        <f t="array" ref="AC11">IFERROR(INDEX('LCA-IO'!$C$2:$C$175,MATCH($A11&amp;AC$1,'LCA-IO'!$B$2:$B$175&amp;'LCA-IO'!$D$2:$D$175,0)),0)*$K11</f>
        <v>0</v>
      </c>
      <c r="AD11" s="222" cm="1">
        <f t="array" ref="AD11">IFERROR(INDEX('LCA-IO'!$C$2:$C$175,MATCH($A11&amp;AD$1,'LCA-IO'!$B$2:$B$175&amp;'LCA-IO'!$D$2:$D$175,0)),0)*$K11</f>
        <v>0</v>
      </c>
      <c r="AE11" s="223" cm="1">
        <f t="array" ref="AE11">IFERROR(INDEX('LCA-IO'!$C$2:$C$175,MATCH($A11&amp;AE$1,'LCA-IO'!$B$2:$B$175&amp;'LCA-IO'!$D$2:$D$175,0)),0)*$K11</f>
        <v>0</v>
      </c>
      <c r="AF11" s="237">
        <f>IF(IO_DB[[#This Row],[Variable]]="Jobs Created FTEs Low-skilled in 1000 Persons",IO_DB[[#This Row],[Value]],0)*1000*MIN(INDEX('Wages | VI '!$Z:$Z,MATCH(IO_DB[[#This Row],[Manufacturing Country]],'Wages | VI '!$A:$A,0)),4*INDEX('LW2023-24 | VI'!$J:$J,MATCH(IO_DB[[#This Row],[Manufacturing Country]],'LW2023-24 | VI'!$C:$C,0)))</f>
        <v>0</v>
      </c>
      <c r="AG11" s="237">
        <f>IF(IO_DB[[#This Row],[Variable]]="Jobs Created FTEs Medium-skilled in 1000 Persons",IO_DB[[#This Row],[Value]],0)*1000*MIN(INDEX('Wages | VI '!$AA:$AA,MATCH(IO_DB[[#This Row],[Manufacturing Country]],'Wages | VI '!$A:$A,0)),4*INDEX('LW2023-24 | VI'!$J:$J,MATCH(IO_DB[[#This Row],[Manufacturing Country]],'LW2023-24 | VI'!$C:$C,0)))</f>
        <v>0.31481425456330592</v>
      </c>
      <c r="AH11" s="237">
        <f>IF(IO_DB[[#This Row],[Variable]]="Jobs Created FTEs High-skilled in 1000 Persons",IO_DB[[#This Row],[Value]],0)*1000*MIN(INDEX('Wages | VI '!$AB:$AB,MATCH(IO_DB[[#This Row],[Manufacturing Country]],'Wages | VI '!$A:$A,0)),4*INDEX('LW2023-24 | VI'!$J:$J,MATCH(IO_DB[[#This Row],[Manufacturing Country]],'LW2023-24 | VI'!$C:$C,0)))</f>
        <v>0</v>
      </c>
      <c r="AI11" s="237">
        <f>IF(IO_DB[[#This Row],[Variable]]="Jobs Created FTEs Low-skilled in 1000 Persons",IO_DB[[#This Row],[Value]],0)*1000*MAX(0,INDEX('LW2023-24 | VI'!$J:$J,MATCH(IO_DB[[#This Row],[Manufacturing Country]],'LW2023-24 | VI'!$C:$C,0))-INDEX('Wages | VI '!$Z:$Z,MATCH(IO_DB[[#This Row],[Manufacturing Country]],'Wages | VI '!$A:$A,0)))</f>
        <v>0</v>
      </c>
      <c r="AJ11" s="237">
        <f>IF(IO_DB[[#This Row],[Variable]]="Jobs Created FTEs Medium-skilled in 1000 Persons",IO_DB[[#This Row],[Value]],0)*1000*MAX(0,INDEX('LW2023-24 | VI'!$J:$J,MATCH(IO_DB[[#This Row],[Manufacturing Country]],'LW2023-24 | VI'!$C:$C,0))-INDEX('Wages | VI '!$AA:$AA,MATCH(IO_DB[[#This Row],[Manufacturing Country]],'Wages | VI '!$A:$A,0)))</f>
        <v>0</v>
      </c>
      <c r="AK11" s="237">
        <f>IF(IO_DB[[#This Row],[Variable]]="Jobs Created FTEs High-skilled in 1000 Persons",IO_DB[[#This Row],[Value]],0)*1000*MAX(0,INDEX('LW2023-24 | VI'!$J:$J,MATCH(IO_DB[[#This Row],[Manufacturing Country]],'LW2023-24 | VI'!$C:$C,0))-INDEX('Wages | VI '!$AB:$AB,MATCH(IO_DB[[#This Row],[Manufacturing Country]],'Wages | VI '!$A:$A,0)))</f>
        <v>0</v>
      </c>
      <c r="AL11" s="222">
        <f>IF(IO_DB[[#This Row],[Variable]]="Gender Pay Gap in USD",IO_DB[[#This Row],[Value]],0)</f>
        <v>0</v>
      </c>
      <c r="AM11" s="222">
        <f>IF(IO_DB[[#This Row],[Variable]]="Disability Pay Gap in USD",IO_DB[[#This Row],[Value]],0)</f>
        <v>0</v>
      </c>
      <c r="AN11" s="222">
        <f>IF(IO_DB[[#This Row],[Variable]]="Child Labor in Children",IO_DB[[#This Row],[Value]],0)*INDEX('EDU | VI'!$K:$M,MATCH(IO_DB[[#This Row],[Manufacturing Country]],'EDU | VI'!$A:$A,0),2)*'Parameters | Agora'!$B$22</f>
        <v>0</v>
      </c>
      <c r="AO11" s="222">
        <f>IF(IO_DB[[#This Row],[Variable]]="Human Capital / Training in Hours",IO_DB[[#This Row],[Value]],0)*INDEX('EDU | VI'!$K:$M,MATCH(IO_DB[[#This Row],[Manufacturing Country]],'EDU | VI'!$A:$A,0),2)</f>
        <v>0</v>
      </c>
      <c r="AP11" s="237">
        <f>IF(IO_DB[[#This Row],[Variable]]="Forced Labor in Persons",IO_DB[[#This Row],[Value]],0)*'Parameters | Agora'!$B$41</f>
        <v>0</v>
      </c>
      <c r="AQ11" s="222">
        <f>IF(IO_DB[[#This Row],[Variable]]="OHS Injury Total in Cases",IO_DB[[#This Row],[Value]],0)*INDEX('HEALTH | VI'!$L:$L,MATCH(IO_DB[[#This Row],[Manufacturing Country]],'HEALTH | VI'!$A:$A,0))</f>
        <v>0</v>
      </c>
      <c r="AR11" s="222">
        <f>IF(IO_DB[[#This Row],[Variable]]="OHS Disease/Illness Total in Cases",IO_DB[[#This Row],[Value]],0)*'Parameters | Agora'!$B$47</f>
        <v>0</v>
      </c>
      <c r="AS11" s="222">
        <f>IF(IO_DB[[#This Row],[Variable]]="Freedom of Association in Cases",IO_DB[[#This Row],[Value]],0)*'Parameters | Agora'!$B$51*INDEX('Wages | VI '!$Z:$AB,MATCH(IO_DB[[#This Row],[Manufacturing Country]],'Wages | VI '!$A:$A,0),1)</f>
        <v>0</v>
      </c>
      <c r="AT11" s="222">
        <f>IF(IO_DB[[#This Row],[Variable]]="Working Overtime in Cases",IO_DB[[#This Row],[Value]],0)*'Parameters | Agora'!$B$57</f>
        <v>0</v>
      </c>
      <c r="AU11" s="222">
        <f>IF(IO_DB[[#This Row],[Variable]]="Corporate Income Taxes (IMF Tax Revenue Database) in USD",IO_DB[[#This Row],[Value]],0)</f>
        <v>0</v>
      </c>
      <c r="AV11" s="222">
        <f>IF(IO_DB[[#This Row],[Variable]]="Personal Income Taxes (Collecting Taxes Database) in USD",IO_DB[[#This Row],[Value]],0)</f>
        <v>0</v>
      </c>
    </row>
    <row r="12" spans="1:48" ht="15.6">
      <c r="A12" t="s">
        <v>1778</v>
      </c>
      <c r="B12" t="s">
        <v>42</v>
      </c>
      <c r="C12" t="s">
        <v>2037</v>
      </c>
      <c r="D12" t="s">
        <v>2468</v>
      </c>
      <c r="E12" t="s">
        <v>612</v>
      </c>
      <c r="F12" t="s">
        <v>2469</v>
      </c>
      <c r="G12" t="s">
        <v>1727</v>
      </c>
      <c r="H12" t="s">
        <v>1728</v>
      </c>
      <c r="I12" t="s">
        <v>1728</v>
      </c>
      <c r="J12" t="s">
        <v>1728</v>
      </c>
      <c r="K12">
        <v>1.0345143403697631E-6</v>
      </c>
      <c r="L12" t="s">
        <v>1774</v>
      </c>
      <c r="M12" s="222" cm="1">
        <f t="array" ref="M12">IFERROR(INDEX('LCA-IO'!$C$2:$C$175,MATCH($A12&amp;M$1,'LCA-IO'!$B$2:$B$175&amp;'LCA-IO'!$D$2:$D$175,0)),0)*$K12</f>
        <v>0</v>
      </c>
      <c r="N12" s="222" cm="1">
        <f t="array" ref="N12">IFERROR(INDEX('LCA-IO'!$C$2:$C$175,MATCH($A12&amp;N$1,'LCA-IO'!$B$2:$B$175&amp;'LCA-IO'!$D$2:$D$175,0)),0)*$K12</f>
        <v>0</v>
      </c>
      <c r="O12" s="222" cm="1">
        <f t="array" ref="O12">IFERROR(INDEX('LCA-IO'!$C$2:$C$175,MATCH($A12&amp;O$1,'LCA-IO'!$B$2:$B$175&amp;'LCA-IO'!$D$2:$D$175,0)),0)*$K12</f>
        <v>0</v>
      </c>
      <c r="P12" s="222" cm="1">
        <f t="array" ref="P12">IFERROR(INDEX('LCA-IO'!$C$2:$C$175,MATCH($A12&amp;P$1,'LCA-IO'!$B$2:$B$175&amp;'LCA-IO'!$D$2:$D$175,0)),0)*$K12</f>
        <v>0</v>
      </c>
      <c r="Q12" s="222" cm="1">
        <f t="array" ref="Q12">IFERROR(INDEX('LCA-IO'!$C$2:$C$175,MATCH($A12&amp;Q$1,'LCA-IO'!$B$2:$B$175&amp;'LCA-IO'!$D$2:$D$175,0)),0)*$K12</f>
        <v>0</v>
      </c>
      <c r="R12" s="222" cm="1">
        <f t="array" ref="R12">IFERROR(INDEX('LCA-IO'!$C$2:$C$175,MATCH($A12&amp;R$1,'LCA-IO'!$B$2:$B$175&amp;'LCA-IO'!$D$2:$D$175,0)),0)*$K12</f>
        <v>0</v>
      </c>
      <c r="S12" s="222" cm="1">
        <f t="array" ref="S12">IFERROR(INDEX('LCA-IO'!$C$2:$C$175,MATCH($A12&amp;S$1,'LCA-IO'!$B$2:$B$175&amp;'LCA-IO'!$D$2:$D$175,0)),0)*$K12</f>
        <v>0</v>
      </c>
      <c r="T12" s="222" cm="1">
        <f t="array" ref="T12">IFERROR(INDEX('LCA-IO'!$C$2:$C$175,MATCH($A12&amp;T$1,'LCA-IO'!$B$2:$B$175&amp;'LCA-IO'!$D$2:$D$175,0)),0)*$K12</f>
        <v>0</v>
      </c>
      <c r="U12" s="222" cm="1">
        <f t="array" ref="U12">IFERROR(INDEX('LCA-IO'!$C$2:$C$175,MATCH($A12&amp;U$1,'LCA-IO'!$B$2:$B$175&amp;'LCA-IO'!$D$2:$D$175,0)),0)*$K12</f>
        <v>0</v>
      </c>
      <c r="V12" s="222" cm="1">
        <f t="array" ref="V12">IFERROR(INDEX('LCA-IO'!$C$2:$C$175,MATCH($A12&amp;V$1,'LCA-IO'!$B$2:$B$175&amp;'LCA-IO'!$D$2:$D$175,0)),0)*$K12</f>
        <v>0</v>
      </c>
      <c r="W12" s="222" cm="1">
        <f t="array" ref="W12">IFERROR(INDEX('LCA-IO'!$C$2:$C$175,MATCH($A12&amp;W$1,'LCA-IO'!$B$2:$B$175&amp;'LCA-IO'!$D$2:$D$175,0)),0)*$K12</f>
        <v>0</v>
      </c>
      <c r="X12" s="222" cm="1">
        <f t="array" ref="X12">IFERROR(INDEX('LCA-IO'!$C$2:$C$175,MATCH($A12&amp;X$1,'LCA-IO'!$B$2:$B$175&amp;'LCA-IO'!$D$2:$D$175,0)),0)*$K12</f>
        <v>0</v>
      </c>
      <c r="Y12" s="222" cm="1">
        <f t="array" ref="Y12">IFERROR(INDEX('LCA-IO'!$C$2:$C$175,MATCH($A12&amp;Y$1,'LCA-IO'!$B$2:$B$175&amp;'LCA-IO'!$D$2:$D$175,0)),0)*$K12</f>
        <v>0</v>
      </c>
      <c r="Z12" s="222" cm="1">
        <f t="array" ref="Z12">IFERROR(INDEX('LCA-IO'!$C$2:$C$175,MATCH($A12&amp;Z$1,'LCA-IO'!$B$2:$B$175&amp;'LCA-IO'!$D$2:$D$175,0)),0)*$K12</f>
        <v>0</v>
      </c>
      <c r="AA12" s="222" cm="1">
        <f t="array" ref="AA12">IFERROR(INDEX('LCA-IO'!$C$2:$C$175,MATCH($A12&amp;AA$1,'LCA-IO'!$B$2:$B$175&amp;'LCA-IO'!$D$2:$D$175,0)),0)*$K12</f>
        <v>0</v>
      </c>
      <c r="AB12" s="222" cm="1">
        <f t="array" ref="AB12">IFERROR(INDEX('LCA-IO'!$C$2:$C$175,MATCH($A12&amp;AB$1,'LCA-IO'!$B$2:$B$175&amp;'LCA-IO'!$D$2:$D$175,0)),0)*$K12</f>
        <v>0</v>
      </c>
      <c r="AC12" s="222" cm="1">
        <f t="array" ref="AC12">IFERROR(INDEX('LCA-IO'!$C$2:$C$175,MATCH($A12&amp;AC$1,'LCA-IO'!$B$2:$B$175&amp;'LCA-IO'!$D$2:$D$175,0)),0)*$K12</f>
        <v>0</v>
      </c>
      <c r="AD12" s="222" cm="1">
        <f t="array" ref="AD12">IFERROR(INDEX('LCA-IO'!$C$2:$C$175,MATCH($A12&amp;AD$1,'LCA-IO'!$B$2:$B$175&amp;'LCA-IO'!$D$2:$D$175,0)),0)*$K12</f>
        <v>0</v>
      </c>
      <c r="AE12" s="223" cm="1">
        <f t="array" ref="AE12">IFERROR(INDEX('LCA-IO'!$C$2:$C$175,MATCH($A12&amp;AE$1,'LCA-IO'!$B$2:$B$175&amp;'LCA-IO'!$D$2:$D$175,0)),0)*$K12</f>
        <v>0</v>
      </c>
      <c r="AF12" s="237">
        <f>IF(IO_DB[[#This Row],[Variable]]="Jobs Created FTEs Low-skilled in 1000 Persons",IO_DB[[#This Row],[Value]],0)*1000*MIN(INDEX('Wages | VI '!$Z:$Z,MATCH(IO_DB[[#This Row],[Manufacturing Country]],'Wages | VI '!$A:$A,0)),4*INDEX('LW2023-24 | VI'!$J:$J,MATCH(IO_DB[[#This Row],[Manufacturing Country]],'LW2023-24 | VI'!$C:$C,0)))</f>
        <v>0</v>
      </c>
      <c r="AG12" s="237">
        <f>IF(IO_DB[[#This Row],[Variable]]="Jobs Created FTEs Medium-skilled in 1000 Persons",IO_DB[[#This Row],[Value]],0)*1000*MIN(INDEX('Wages | VI '!$AA:$AA,MATCH(IO_DB[[#This Row],[Manufacturing Country]],'Wages | VI '!$A:$A,0)),4*INDEX('LW2023-24 | VI'!$J:$J,MATCH(IO_DB[[#This Row],[Manufacturing Country]],'LW2023-24 | VI'!$C:$C,0)))</f>
        <v>0</v>
      </c>
      <c r="AH12" s="237">
        <f>IF(IO_DB[[#This Row],[Variable]]="Jobs Created FTEs High-skilled in 1000 Persons",IO_DB[[#This Row],[Value]],0)*1000*MIN(INDEX('Wages | VI '!$AB:$AB,MATCH(IO_DB[[#This Row],[Manufacturing Country]],'Wages | VI '!$A:$A,0)),4*INDEX('LW2023-24 | VI'!$J:$J,MATCH(IO_DB[[#This Row],[Manufacturing Country]],'LW2023-24 | VI'!$C:$C,0)))</f>
        <v>0</v>
      </c>
      <c r="AI12" s="237">
        <f>IF(IO_DB[[#This Row],[Variable]]="Jobs Created FTEs Low-skilled in 1000 Persons",IO_DB[[#This Row],[Value]],0)*1000*MAX(0,INDEX('LW2023-24 | VI'!$J:$J,MATCH(IO_DB[[#This Row],[Manufacturing Country]],'LW2023-24 | VI'!$C:$C,0))-INDEX('Wages | VI '!$Z:$Z,MATCH(IO_DB[[#This Row],[Manufacturing Country]],'Wages | VI '!$A:$A,0)))</f>
        <v>0</v>
      </c>
      <c r="AJ12" s="237">
        <f>IF(IO_DB[[#This Row],[Variable]]="Jobs Created FTEs Medium-skilled in 1000 Persons",IO_DB[[#This Row],[Value]],0)*1000*MAX(0,INDEX('LW2023-24 | VI'!$J:$J,MATCH(IO_DB[[#This Row],[Manufacturing Country]],'LW2023-24 | VI'!$C:$C,0))-INDEX('Wages | VI '!$AA:$AA,MATCH(IO_DB[[#This Row],[Manufacturing Country]],'Wages | VI '!$A:$A,0)))</f>
        <v>0</v>
      </c>
      <c r="AK12" s="237">
        <f>IF(IO_DB[[#This Row],[Variable]]="Jobs Created FTEs High-skilled in 1000 Persons",IO_DB[[#This Row],[Value]],0)*1000*MAX(0,INDEX('LW2023-24 | VI'!$J:$J,MATCH(IO_DB[[#This Row],[Manufacturing Country]],'LW2023-24 | VI'!$C:$C,0))-INDEX('Wages | VI '!$AB:$AB,MATCH(IO_DB[[#This Row],[Manufacturing Country]],'Wages | VI '!$A:$A,0)))</f>
        <v>0</v>
      </c>
      <c r="AL12" s="222">
        <f>IF(IO_DB[[#This Row],[Variable]]="Gender Pay Gap in USD",IO_DB[[#This Row],[Value]],0)</f>
        <v>0</v>
      </c>
      <c r="AM12" s="222">
        <f>IF(IO_DB[[#This Row],[Variable]]="Disability Pay Gap in USD",IO_DB[[#This Row],[Value]],0)</f>
        <v>0</v>
      </c>
      <c r="AN12" s="222">
        <f>IF(IO_DB[[#This Row],[Variable]]="Child Labor in Children",IO_DB[[#This Row],[Value]],0)*INDEX('EDU | VI'!$K:$M,MATCH(IO_DB[[#This Row],[Manufacturing Country]],'EDU | VI'!$A:$A,0),2)*'Parameters | Agora'!$B$22</f>
        <v>0</v>
      </c>
      <c r="AO12" s="222">
        <f>IF(IO_DB[[#This Row],[Variable]]="Human Capital / Training in Hours",IO_DB[[#This Row],[Value]],0)*INDEX('EDU | VI'!$K:$M,MATCH(IO_DB[[#This Row],[Manufacturing Country]],'EDU | VI'!$A:$A,0),2)</f>
        <v>0</v>
      </c>
      <c r="AP12" s="237">
        <f>IF(IO_DB[[#This Row],[Variable]]="Forced Labor in Persons",IO_DB[[#This Row],[Value]],0)*'Parameters | Agora'!$B$41</f>
        <v>0</v>
      </c>
      <c r="AQ12" s="222">
        <f>IF(IO_DB[[#This Row],[Variable]]="OHS Injury Total in Cases",IO_DB[[#This Row],[Value]],0)*INDEX('HEALTH | VI'!$L:$L,MATCH(IO_DB[[#This Row],[Manufacturing Country]],'HEALTH | VI'!$A:$A,0))</f>
        <v>0</v>
      </c>
      <c r="AR12" s="222">
        <f>IF(IO_DB[[#This Row],[Variable]]="OHS Disease/Illness Total in Cases",IO_DB[[#This Row],[Value]],0)*'Parameters | Agora'!$B$47</f>
        <v>2.0292396676483817E-9</v>
      </c>
      <c r="AS12" s="222">
        <f>IF(IO_DB[[#This Row],[Variable]]="Freedom of Association in Cases",IO_DB[[#This Row],[Value]],0)*'Parameters | Agora'!$B$51*INDEX('Wages | VI '!$Z:$AB,MATCH(IO_DB[[#This Row],[Manufacturing Country]],'Wages | VI '!$A:$A,0),1)</f>
        <v>0</v>
      </c>
      <c r="AT12" s="222">
        <f>IF(IO_DB[[#This Row],[Variable]]="Working Overtime in Cases",IO_DB[[#This Row],[Value]],0)*'Parameters | Agora'!$B$57</f>
        <v>0</v>
      </c>
      <c r="AU12" s="222">
        <f>IF(IO_DB[[#This Row],[Variable]]="Corporate Income Taxes (IMF Tax Revenue Database) in USD",IO_DB[[#This Row],[Value]],0)</f>
        <v>0</v>
      </c>
      <c r="AV12" s="222">
        <f>IF(IO_DB[[#This Row],[Variable]]="Personal Income Taxes (Collecting Taxes Database) in USD",IO_DB[[#This Row],[Value]],0)</f>
        <v>0</v>
      </c>
    </row>
    <row r="13" spans="1:48" ht="15.6">
      <c r="A13" t="s">
        <v>1779</v>
      </c>
      <c r="B13" t="s">
        <v>42</v>
      </c>
      <c r="C13" t="s">
        <v>2037</v>
      </c>
      <c r="D13" t="s">
        <v>2468</v>
      </c>
      <c r="E13" t="s">
        <v>612</v>
      </c>
      <c r="F13" t="s">
        <v>2469</v>
      </c>
      <c r="G13" t="s">
        <v>1727</v>
      </c>
      <c r="H13" t="s">
        <v>1728</v>
      </c>
      <c r="I13" t="s">
        <v>1728</v>
      </c>
      <c r="J13" t="s">
        <v>1728</v>
      </c>
      <c r="K13">
        <v>1.1093089513486711E-9</v>
      </c>
      <c r="L13" t="s">
        <v>1774</v>
      </c>
      <c r="M13" s="222" cm="1">
        <f t="array" ref="M13">IFERROR(INDEX('LCA-IO'!$C$2:$C$175,MATCH($A13&amp;M$1,'LCA-IO'!$B$2:$B$175&amp;'LCA-IO'!$D$2:$D$175,0)),0)*$K13</f>
        <v>0</v>
      </c>
      <c r="N13" s="222" cm="1">
        <f t="array" ref="N13">IFERROR(INDEX('LCA-IO'!$C$2:$C$175,MATCH($A13&amp;N$1,'LCA-IO'!$B$2:$B$175&amp;'LCA-IO'!$D$2:$D$175,0)),0)*$K13</f>
        <v>0</v>
      </c>
      <c r="O13" s="222" cm="1">
        <f t="array" ref="O13">IFERROR(INDEX('LCA-IO'!$C$2:$C$175,MATCH($A13&amp;O$1,'LCA-IO'!$B$2:$B$175&amp;'LCA-IO'!$D$2:$D$175,0)),0)*$K13</f>
        <v>0</v>
      </c>
      <c r="P13" s="222" cm="1">
        <f t="array" ref="P13">IFERROR(INDEX('LCA-IO'!$C$2:$C$175,MATCH($A13&amp;P$1,'LCA-IO'!$B$2:$B$175&amp;'LCA-IO'!$D$2:$D$175,0)),0)*$K13</f>
        <v>0</v>
      </c>
      <c r="Q13" s="222" cm="1">
        <f t="array" ref="Q13">IFERROR(INDEX('LCA-IO'!$C$2:$C$175,MATCH($A13&amp;Q$1,'LCA-IO'!$B$2:$B$175&amp;'LCA-IO'!$D$2:$D$175,0)),0)*$K13</f>
        <v>0</v>
      </c>
      <c r="R13" s="222" cm="1">
        <f t="array" ref="R13">IFERROR(INDEX('LCA-IO'!$C$2:$C$175,MATCH($A13&amp;R$1,'LCA-IO'!$B$2:$B$175&amp;'LCA-IO'!$D$2:$D$175,0)),0)*$K13</f>
        <v>0</v>
      </c>
      <c r="S13" s="222" cm="1">
        <f t="array" ref="S13">IFERROR(INDEX('LCA-IO'!$C$2:$C$175,MATCH($A13&amp;S$1,'LCA-IO'!$B$2:$B$175&amp;'LCA-IO'!$D$2:$D$175,0)),0)*$K13</f>
        <v>0</v>
      </c>
      <c r="T13" s="222" cm="1">
        <f t="array" ref="T13">IFERROR(INDEX('LCA-IO'!$C$2:$C$175,MATCH($A13&amp;T$1,'LCA-IO'!$B$2:$B$175&amp;'LCA-IO'!$D$2:$D$175,0)),0)*$K13</f>
        <v>0</v>
      </c>
      <c r="U13" s="222" cm="1">
        <f t="array" ref="U13">IFERROR(INDEX('LCA-IO'!$C$2:$C$175,MATCH($A13&amp;U$1,'LCA-IO'!$B$2:$B$175&amp;'LCA-IO'!$D$2:$D$175,0)),0)*$K13</f>
        <v>0</v>
      </c>
      <c r="V13" s="222" cm="1">
        <f t="array" ref="V13">IFERROR(INDEX('LCA-IO'!$C$2:$C$175,MATCH($A13&amp;V$1,'LCA-IO'!$B$2:$B$175&amp;'LCA-IO'!$D$2:$D$175,0)),0)*$K13</f>
        <v>0</v>
      </c>
      <c r="W13" s="222" cm="1">
        <f t="array" ref="W13">IFERROR(INDEX('LCA-IO'!$C$2:$C$175,MATCH($A13&amp;W$1,'LCA-IO'!$B$2:$B$175&amp;'LCA-IO'!$D$2:$D$175,0)),0)*$K13</f>
        <v>0</v>
      </c>
      <c r="X13" s="222" cm="1">
        <f t="array" ref="X13">IFERROR(INDEX('LCA-IO'!$C$2:$C$175,MATCH($A13&amp;X$1,'LCA-IO'!$B$2:$B$175&amp;'LCA-IO'!$D$2:$D$175,0)),0)*$K13</f>
        <v>0</v>
      </c>
      <c r="Y13" s="222" cm="1">
        <f t="array" ref="Y13">IFERROR(INDEX('LCA-IO'!$C$2:$C$175,MATCH($A13&amp;Y$1,'LCA-IO'!$B$2:$B$175&amp;'LCA-IO'!$D$2:$D$175,0)),0)*$K13</f>
        <v>0</v>
      </c>
      <c r="Z13" s="222" cm="1">
        <f t="array" ref="Z13">IFERROR(INDEX('LCA-IO'!$C$2:$C$175,MATCH($A13&amp;Z$1,'LCA-IO'!$B$2:$B$175&amp;'LCA-IO'!$D$2:$D$175,0)),0)*$K13</f>
        <v>0</v>
      </c>
      <c r="AA13" s="222" cm="1">
        <f t="array" ref="AA13">IFERROR(INDEX('LCA-IO'!$C$2:$C$175,MATCH($A13&amp;AA$1,'LCA-IO'!$B$2:$B$175&amp;'LCA-IO'!$D$2:$D$175,0)),0)*$K13</f>
        <v>0</v>
      </c>
      <c r="AB13" s="222" cm="1">
        <f t="array" ref="AB13">IFERROR(INDEX('LCA-IO'!$C$2:$C$175,MATCH($A13&amp;AB$1,'LCA-IO'!$B$2:$B$175&amp;'LCA-IO'!$D$2:$D$175,0)),0)*$K13</f>
        <v>0</v>
      </c>
      <c r="AC13" s="222" cm="1">
        <f t="array" ref="AC13">IFERROR(INDEX('LCA-IO'!$C$2:$C$175,MATCH($A13&amp;AC$1,'LCA-IO'!$B$2:$B$175&amp;'LCA-IO'!$D$2:$D$175,0)),0)*$K13</f>
        <v>0</v>
      </c>
      <c r="AD13" s="222" cm="1">
        <f t="array" ref="AD13">IFERROR(INDEX('LCA-IO'!$C$2:$C$175,MATCH($A13&amp;AD$1,'LCA-IO'!$B$2:$B$175&amp;'LCA-IO'!$D$2:$D$175,0)),0)*$K13</f>
        <v>0</v>
      </c>
      <c r="AE13" s="223" cm="1">
        <f t="array" ref="AE13">IFERROR(INDEX('LCA-IO'!$C$2:$C$175,MATCH($A13&amp;AE$1,'LCA-IO'!$B$2:$B$175&amp;'LCA-IO'!$D$2:$D$175,0)),0)*$K13</f>
        <v>0</v>
      </c>
      <c r="AF13" s="237">
        <f>IF(IO_DB[[#This Row],[Variable]]="Jobs Created FTEs Low-skilled in 1000 Persons",IO_DB[[#This Row],[Value]],0)*1000*MIN(INDEX('Wages | VI '!$Z:$Z,MATCH(IO_DB[[#This Row],[Manufacturing Country]],'Wages | VI '!$A:$A,0)),4*INDEX('LW2023-24 | VI'!$J:$J,MATCH(IO_DB[[#This Row],[Manufacturing Country]],'LW2023-24 | VI'!$C:$C,0)))</f>
        <v>0</v>
      </c>
      <c r="AG13" s="237">
        <f>IF(IO_DB[[#This Row],[Variable]]="Jobs Created FTEs Medium-skilled in 1000 Persons",IO_DB[[#This Row],[Value]],0)*1000*MIN(INDEX('Wages | VI '!$AA:$AA,MATCH(IO_DB[[#This Row],[Manufacturing Country]],'Wages | VI '!$A:$A,0)),4*INDEX('LW2023-24 | VI'!$J:$J,MATCH(IO_DB[[#This Row],[Manufacturing Country]],'LW2023-24 | VI'!$C:$C,0)))</f>
        <v>0</v>
      </c>
      <c r="AH13" s="237">
        <f>IF(IO_DB[[#This Row],[Variable]]="Jobs Created FTEs High-skilled in 1000 Persons",IO_DB[[#This Row],[Value]],0)*1000*MIN(INDEX('Wages | VI '!$AB:$AB,MATCH(IO_DB[[#This Row],[Manufacturing Country]],'Wages | VI '!$A:$A,0)),4*INDEX('LW2023-24 | VI'!$J:$J,MATCH(IO_DB[[#This Row],[Manufacturing Country]],'LW2023-24 | VI'!$C:$C,0)))</f>
        <v>0</v>
      </c>
      <c r="AI13" s="237">
        <f>IF(IO_DB[[#This Row],[Variable]]="Jobs Created FTEs Low-skilled in 1000 Persons",IO_DB[[#This Row],[Value]],0)*1000*MAX(0,INDEX('LW2023-24 | VI'!$J:$J,MATCH(IO_DB[[#This Row],[Manufacturing Country]],'LW2023-24 | VI'!$C:$C,0))-INDEX('Wages | VI '!$Z:$Z,MATCH(IO_DB[[#This Row],[Manufacturing Country]],'Wages | VI '!$A:$A,0)))</f>
        <v>0</v>
      </c>
      <c r="AJ13" s="237">
        <f>IF(IO_DB[[#This Row],[Variable]]="Jobs Created FTEs Medium-skilled in 1000 Persons",IO_DB[[#This Row],[Value]],0)*1000*MAX(0,INDEX('LW2023-24 | VI'!$J:$J,MATCH(IO_DB[[#This Row],[Manufacturing Country]],'LW2023-24 | VI'!$C:$C,0))-INDEX('Wages | VI '!$AA:$AA,MATCH(IO_DB[[#This Row],[Manufacturing Country]],'Wages | VI '!$A:$A,0)))</f>
        <v>0</v>
      </c>
      <c r="AK13" s="237">
        <f>IF(IO_DB[[#This Row],[Variable]]="Jobs Created FTEs High-skilled in 1000 Persons",IO_DB[[#This Row],[Value]],0)*1000*MAX(0,INDEX('LW2023-24 | VI'!$J:$J,MATCH(IO_DB[[#This Row],[Manufacturing Country]],'LW2023-24 | VI'!$C:$C,0))-INDEX('Wages | VI '!$AB:$AB,MATCH(IO_DB[[#This Row],[Manufacturing Country]],'Wages | VI '!$A:$A,0)))</f>
        <v>0</v>
      </c>
      <c r="AL13" s="222">
        <f>IF(IO_DB[[#This Row],[Variable]]="Gender Pay Gap in USD",IO_DB[[#This Row],[Value]],0)</f>
        <v>0</v>
      </c>
      <c r="AM13" s="222">
        <f>IF(IO_DB[[#This Row],[Variable]]="Disability Pay Gap in USD",IO_DB[[#This Row],[Value]],0)</f>
        <v>0</v>
      </c>
      <c r="AN13" s="222">
        <f>IF(IO_DB[[#This Row],[Variable]]="Child Labor in Children",IO_DB[[#This Row],[Value]],0)*INDEX('EDU | VI'!$K:$M,MATCH(IO_DB[[#This Row],[Manufacturing Country]],'EDU | VI'!$A:$A,0),2)*'Parameters | Agora'!$B$22</f>
        <v>0</v>
      </c>
      <c r="AO13" s="222">
        <f>IF(IO_DB[[#This Row],[Variable]]="Human Capital / Training in Hours",IO_DB[[#This Row],[Value]],0)*INDEX('EDU | VI'!$K:$M,MATCH(IO_DB[[#This Row],[Manufacturing Country]],'EDU | VI'!$A:$A,0),2)</f>
        <v>0</v>
      </c>
      <c r="AP13" s="237">
        <f>IF(IO_DB[[#This Row],[Variable]]="Forced Labor in Persons",IO_DB[[#This Row],[Value]],0)*'Parameters | Agora'!$B$41</f>
        <v>0</v>
      </c>
      <c r="AQ13" s="222">
        <f>IF(IO_DB[[#This Row],[Variable]]="OHS Injury Total in Cases",IO_DB[[#This Row],[Value]],0)*INDEX('HEALTH | VI'!$L:$L,MATCH(IO_DB[[#This Row],[Manufacturing Country]],'HEALTH | VI'!$A:$A,0))</f>
        <v>0</v>
      </c>
      <c r="AR13" s="222">
        <f>IF(IO_DB[[#This Row],[Variable]]="OHS Disease/Illness Total in Cases",IO_DB[[#This Row],[Value]],0)*'Parameters | Agora'!$B$47</f>
        <v>0</v>
      </c>
      <c r="AS13" s="222">
        <f>IF(IO_DB[[#This Row],[Variable]]="Freedom of Association in Cases",IO_DB[[#This Row],[Value]],0)*'Parameters | Agora'!$B$51*INDEX('Wages | VI '!$Z:$AB,MATCH(IO_DB[[#This Row],[Manufacturing Country]],'Wages | VI '!$A:$A,0),1)</f>
        <v>0</v>
      </c>
      <c r="AT13" s="222">
        <f>IF(IO_DB[[#This Row],[Variable]]="Working Overtime in Cases",IO_DB[[#This Row],[Value]],0)*'Parameters | Agora'!$B$57</f>
        <v>0</v>
      </c>
      <c r="AU13" s="222">
        <f>IF(IO_DB[[#This Row],[Variable]]="Corporate Income Taxes (IMF Tax Revenue Database) in USD",IO_DB[[#This Row],[Value]],0)</f>
        <v>0</v>
      </c>
      <c r="AV13" s="222">
        <f>IF(IO_DB[[#This Row],[Variable]]="Personal Income Taxes (Collecting Taxes Database) in USD",IO_DB[[#This Row],[Value]],0)</f>
        <v>0</v>
      </c>
    </row>
    <row r="14" spans="1:48" ht="15.6">
      <c r="A14" t="s">
        <v>1780</v>
      </c>
      <c r="B14" t="s">
        <v>42</v>
      </c>
      <c r="C14" t="s">
        <v>2037</v>
      </c>
      <c r="D14" t="s">
        <v>2468</v>
      </c>
      <c r="E14" t="s">
        <v>612</v>
      </c>
      <c r="F14" t="s">
        <v>2469</v>
      </c>
      <c r="G14" t="s">
        <v>1727</v>
      </c>
      <c r="H14" t="s">
        <v>1728</v>
      </c>
      <c r="I14" t="s">
        <v>1728</v>
      </c>
      <c r="J14" t="s">
        <v>1728</v>
      </c>
      <c r="K14">
        <v>1.0901783672514781E-6</v>
      </c>
      <c r="L14" t="s">
        <v>1774</v>
      </c>
      <c r="M14" s="222" cm="1">
        <f t="array" ref="M14">IFERROR(INDEX('LCA-IO'!$C$2:$C$175,MATCH($A14&amp;M$1,'LCA-IO'!$B$2:$B$175&amp;'LCA-IO'!$D$2:$D$175,0)),0)*$K14</f>
        <v>0</v>
      </c>
      <c r="N14" s="222" cm="1">
        <f t="array" ref="N14">IFERROR(INDEX('LCA-IO'!$C$2:$C$175,MATCH($A14&amp;N$1,'LCA-IO'!$B$2:$B$175&amp;'LCA-IO'!$D$2:$D$175,0)),0)*$K14</f>
        <v>0</v>
      </c>
      <c r="O14" s="222" cm="1">
        <f t="array" ref="O14">IFERROR(INDEX('LCA-IO'!$C$2:$C$175,MATCH($A14&amp;O$1,'LCA-IO'!$B$2:$B$175&amp;'LCA-IO'!$D$2:$D$175,0)),0)*$K14</f>
        <v>0</v>
      </c>
      <c r="P14" s="222" cm="1">
        <f t="array" ref="P14">IFERROR(INDEX('LCA-IO'!$C$2:$C$175,MATCH($A14&amp;P$1,'LCA-IO'!$B$2:$B$175&amp;'LCA-IO'!$D$2:$D$175,0)),0)*$K14</f>
        <v>0</v>
      </c>
      <c r="Q14" s="222" cm="1">
        <f t="array" ref="Q14">IFERROR(INDEX('LCA-IO'!$C$2:$C$175,MATCH($A14&amp;Q$1,'LCA-IO'!$B$2:$B$175&amp;'LCA-IO'!$D$2:$D$175,0)),0)*$K14</f>
        <v>0</v>
      </c>
      <c r="R14" s="222" cm="1">
        <f t="array" ref="R14">IFERROR(INDEX('LCA-IO'!$C$2:$C$175,MATCH($A14&amp;R$1,'LCA-IO'!$B$2:$B$175&amp;'LCA-IO'!$D$2:$D$175,0)),0)*$K14</f>
        <v>0</v>
      </c>
      <c r="S14" s="222" cm="1">
        <f t="array" ref="S14">IFERROR(INDEX('LCA-IO'!$C$2:$C$175,MATCH($A14&amp;S$1,'LCA-IO'!$B$2:$B$175&amp;'LCA-IO'!$D$2:$D$175,0)),0)*$K14</f>
        <v>0</v>
      </c>
      <c r="T14" s="222" cm="1">
        <f t="array" ref="T14">IFERROR(INDEX('LCA-IO'!$C$2:$C$175,MATCH($A14&amp;T$1,'LCA-IO'!$B$2:$B$175&amp;'LCA-IO'!$D$2:$D$175,0)),0)*$K14</f>
        <v>0</v>
      </c>
      <c r="U14" s="222" cm="1">
        <f t="array" ref="U14">IFERROR(INDEX('LCA-IO'!$C$2:$C$175,MATCH($A14&amp;U$1,'LCA-IO'!$B$2:$B$175&amp;'LCA-IO'!$D$2:$D$175,0)),0)*$K14</f>
        <v>0</v>
      </c>
      <c r="V14" s="222" cm="1">
        <f t="array" ref="V14">IFERROR(INDEX('LCA-IO'!$C$2:$C$175,MATCH($A14&amp;V$1,'LCA-IO'!$B$2:$B$175&amp;'LCA-IO'!$D$2:$D$175,0)),0)*$K14</f>
        <v>0</v>
      </c>
      <c r="W14" s="222" cm="1">
        <f t="array" ref="W14">IFERROR(INDEX('LCA-IO'!$C$2:$C$175,MATCH($A14&amp;W$1,'LCA-IO'!$B$2:$B$175&amp;'LCA-IO'!$D$2:$D$175,0)),0)*$K14</f>
        <v>0</v>
      </c>
      <c r="X14" s="222" cm="1">
        <f t="array" ref="X14">IFERROR(INDEX('LCA-IO'!$C$2:$C$175,MATCH($A14&amp;X$1,'LCA-IO'!$B$2:$B$175&amp;'LCA-IO'!$D$2:$D$175,0)),0)*$K14</f>
        <v>0</v>
      </c>
      <c r="Y14" s="222" cm="1">
        <f t="array" ref="Y14">IFERROR(INDEX('LCA-IO'!$C$2:$C$175,MATCH($A14&amp;Y$1,'LCA-IO'!$B$2:$B$175&amp;'LCA-IO'!$D$2:$D$175,0)),0)*$K14</f>
        <v>0</v>
      </c>
      <c r="Z14" s="222" cm="1">
        <f t="array" ref="Z14">IFERROR(INDEX('LCA-IO'!$C$2:$C$175,MATCH($A14&amp;Z$1,'LCA-IO'!$B$2:$B$175&amp;'LCA-IO'!$D$2:$D$175,0)),0)*$K14</f>
        <v>0</v>
      </c>
      <c r="AA14" s="222" cm="1">
        <f t="array" ref="AA14">IFERROR(INDEX('LCA-IO'!$C$2:$C$175,MATCH($A14&amp;AA$1,'LCA-IO'!$B$2:$B$175&amp;'LCA-IO'!$D$2:$D$175,0)),0)*$K14</f>
        <v>0</v>
      </c>
      <c r="AB14" s="222" cm="1">
        <f t="array" ref="AB14">IFERROR(INDEX('LCA-IO'!$C$2:$C$175,MATCH($A14&amp;AB$1,'LCA-IO'!$B$2:$B$175&amp;'LCA-IO'!$D$2:$D$175,0)),0)*$K14</f>
        <v>0</v>
      </c>
      <c r="AC14" s="222" cm="1">
        <f t="array" ref="AC14">IFERROR(INDEX('LCA-IO'!$C$2:$C$175,MATCH($A14&amp;AC$1,'LCA-IO'!$B$2:$B$175&amp;'LCA-IO'!$D$2:$D$175,0)),0)*$K14</f>
        <v>0</v>
      </c>
      <c r="AD14" s="222" cm="1">
        <f t="array" ref="AD14">IFERROR(INDEX('LCA-IO'!$C$2:$C$175,MATCH($A14&amp;AD$1,'LCA-IO'!$B$2:$B$175&amp;'LCA-IO'!$D$2:$D$175,0)),0)*$K14</f>
        <v>0</v>
      </c>
      <c r="AE14" s="223" cm="1">
        <f t="array" ref="AE14">IFERROR(INDEX('LCA-IO'!$C$2:$C$175,MATCH($A14&amp;AE$1,'LCA-IO'!$B$2:$B$175&amp;'LCA-IO'!$D$2:$D$175,0)),0)*$K14</f>
        <v>0</v>
      </c>
      <c r="AF14" s="237">
        <f>IF(IO_DB[[#This Row],[Variable]]="Jobs Created FTEs Low-skilled in 1000 Persons",IO_DB[[#This Row],[Value]],0)*1000*MIN(INDEX('Wages | VI '!$Z:$Z,MATCH(IO_DB[[#This Row],[Manufacturing Country]],'Wages | VI '!$A:$A,0)),4*INDEX('LW2023-24 | VI'!$J:$J,MATCH(IO_DB[[#This Row],[Manufacturing Country]],'LW2023-24 | VI'!$C:$C,0)))</f>
        <v>0</v>
      </c>
      <c r="AG14" s="237">
        <f>IF(IO_DB[[#This Row],[Variable]]="Jobs Created FTEs Medium-skilled in 1000 Persons",IO_DB[[#This Row],[Value]],0)*1000*MIN(INDEX('Wages | VI '!$AA:$AA,MATCH(IO_DB[[#This Row],[Manufacturing Country]],'Wages | VI '!$A:$A,0)),4*INDEX('LW2023-24 | VI'!$J:$J,MATCH(IO_DB[[#This Row],[Manufacturing Country]],'LW2023-24 | VI'!$C:$C,0)))</f>
        <v>0</v>
      </c>
      <c r="AH14" s="237">
        <f>IF(IO_DB[[#This Row],[Variable]]="Jobs Created FTEs High-skilled in 1000 Persons",IO_DB[[#This Row],[Value]],0)*1000*MIN(INDEX('Wages | VI '!$AB:$AB,MATCH(IO_DB[[#This Row],[Manufacturing Country]],'Wages | VI '!$A:$A,0)),4*INDEX('LW2023-24 | VI'!$J:$J,MATCH(IO_DB[[#This Row],[Manufacturing Country]],'LW2023-24 | VI'!$C:$C,0)))</f>
        <v>0</v>
      </c>
      <c r="AI14" s="237">
        <f>IF(IO_DB[[#This Row],[Variable]]="Jobs Created FTEs Low-skilled in 1000 Persons",IO_DB[[#This Row],[Value]],0)*1000*MAX(0,INDEX('LW2023-24 | VI'!$J:$J,MATCH(IO_DB[[#This Row],[Manufacturing Country]],'LW2023-24 | VI'!$C:$C,0))-INDEX('Wages | VI '!$Z:$Z,MATCH(IO_DB[[#This Row],[Manufacturing Country]],'Wages | VI '!$A:$A,0)))</f>
        <v>0</v>
      </c>
      <c r="AJ14" s="237">
        <f>IF(IO_DB[[#This Row],[Variable]]="Jobs Created FTEs Medium-skilled in 1000 Persons",IO_DB[[#This Row],[Value]],0)*1000*MAX(0,INDEX('LW2023-24 | VI'!$J:$J,MATCH(IO_DB[[#This Row],[Manufacturing Country]],'LW2023-24 | VI'!$C:$C,0))-INDEX('Wages | VI '!$AA:$AA,MATCH(IO_DB[[#This Row],[Manufacturing Country]],'Wages | VI '!$A:$A,0)))</f>
        <v>0</v>
      </c>
      <c r="AK14" s="237">
        <f>IF(IO_DB[[#This Row],[Variable]]="Jobs Created FTEs High-skilled in 1000 Persons",IO_DB[[#This Row],[Value]],0)*1000*MAX(0,INDEX('LW2023-24 | VI'!$J:$J,MATCH(IO_DB[[#This Row],[Manufacturing Country]],'LW2023-24 | VI'!$C:$C,0))-INDEX('Wages | VI '!$AB:$AB,MATCH(IO_DB[[#This Row],[Manufacturing Country]],'Wages | VI '!$A:$A,0)))</f>
        <v>0</v>
      </c>
      <c r="AL14" s="222">
        <f>IF(IO_DB[[#This Row],[Variable]]="Gender Pay Gap in USD",IO_DB[[#This Row],[Value]],0)</f>
        <v>0</v>
      </c>
      <c r="AM14" s="222">
        <f>IF(IO_DB[[#This Row],[Variable]]="Disability Pay Gap in USD",IO_DB[[#This Row],[Value]],0)</f>
        <v>0</v>
      </c>
      <c r="AN14" s="222">
        <f>IF(IO_DB[[#This Row],[Variable]]="Child Labor in Children",IO_DB[[#This Row],[Value]],0)*INDEX('EDU | VI'!$K:$M,MATCH(IO_DB[[#This Row],[Manufacturing Country]],'EDU | VI'!$A:$A,0),2)*'Parameters | Agora'!$B$22</f>
        <v>0</v>
      </c>
      <c r="AO14" s="222">
        <f>IF(IO_DB[[#This Row],[Variable]]="Human Capital / Training in Hours",IO_DB[[#This Row],[Value]],0)*INDEX('EDU | VI'!$K:$M,MATCH(IO_DB[[#This Row],[Manufacturing Country]],'EDU | VI'!$A:$A,0),2)</f>
        <v>0</v>
      </c>
      <c r="AP14" s="237">
        <f>IF(IO_DB[[#This Row],[Variable]]="Forced Labor in Persons",IO_DB[[#This Row],[Value]],0)*'Parameters | Agora'!$B$41</f>
        <v>0</v>
      </c>
      <c r="AQ14" s="222">
        <f>IF(IO_DB[[#This Row],[Variable]]="OHS Injury Total in Cases",IO_DB[[#This Row],[Value]],0)*INDEX('HEALTH | VI'!$L:$L,MATCH(IO_DB[[#This Row],[Manufacturing Country]],'HEALTH | VI'!$A:$A,0))</f>
        <v>0</v>
      </c>
      <c r="AR14" s="222">
        <f>IF(IO_DB[[#This Row],[Variable]]="OHS Disease/Illness Total in Cases",IO_DB[[#This Row],[Value]],0)*'Parameters | Agora'!$B$47</f>
        <v>0</v>
      </c>
      <c r="AS14" s="222">
        <f>IF(IO_DB[[#This Row],[Variable]]="Freedom of Association in Cases",IO_DB[[#This Row],[Value]],0)*'Parameters | Agora'!$B$51*INDEX('Wages | VI '!$Z:$AB,MATCH(IO_DB[[#This Row],[Manufacturing Country]],'Wages | VI '!$A:$A,0),1)</f>
        <v>0</v>
      </c>
      <c r="AT14" s="222">
        <f>IF(IO_DB[[#This Row],[Variable]]="Working Overtime in Cases",IO_DB[[#This Row],[Value]],0)*'Parameters | Agora'!$B$57</f>
        <v>0</v>
      </c>
      <c r="AU14" s="222">
        <f>IF(IO_DB[[#This Row],[Variable]]="Corporate Income Taxes (IMF Tax Revenue Database) in USD",IO_DB[[#This Row],[Value]],0)</f>
        <v>0</v>
      </c>
      <c r="AV14" s="222">
        <f>IF(IO_DB[[#This Row],[Variable]]="Personal Income Taxes (Collecting Taxes Database) in USD",IO_DB[[#This Row],[Value]],0)</f>
        <v>0</v>
      </c>
    </row>
    <row r="15" spans="1:48" ht="15.6">
      <c r="A15" t="s">
        <v>2477</v>
      </c>
      <c r="B15" t="s">
        <v>42</v>
      </c>
      <c r="C15" t="s">
        <v>1776</v>
      </c>
      <c r="D15" t="s">
        <v>2468</v>
      </c>
      <c r="E15" t="s">
        <v>612</v>
      </c>
      <c r="F15" t="s">
        <v>2469</v>
      </c>
      <c r="G15" t="s">
        <v>1727</v>
      </c>
      <c r="H15" t="s">
        <v>1728</v>
      </c>
      <c r="I15" t="s">
        <v>1728</v>
      </c>
      <c r="J15" t="s">
        <v>1728</v>
      </c>
      <c r="K15">
        <v>5.6075500391840262E-2</v>
      </c>
      <c r="L15" t="s">
        <v>175</v>
      </c>
      <c r="M15" s="222" cm="1">
        <f t="array" ref="M15">IFERROR(INDEX('LCA-IO'!$C$2:$C$175,MATCH($A15&amp;M$1,'LCA-IO'!$B$2:$B$175&amp;'LCA-IO'!$D$2:$D$175,0)),0)*$K15</f>
        <v>0</v>
      </c>
      <c r="N15" s="222" cm="1">
        <f t="array" ref="N15">IFERROR(INDEX('LCA-IO'!$C$2:$C$175,MATCH($A15&amp;N$1,'LCA-IO'!$B$2:$B$175&amp;'LCA-IO'!$D$2:$D$175,0)),0)*$K15</f>
        <v>0</v>
      </c>
      <c r="O15" s="222" cm="1">
        <f t="array" ref="O15">IFERROR(INDEX('LCA-IO'!$C$2:$C$175,MATCH($A15&amp;O$1,'LCA-IO'!$B$2:$B$175&amp;'LCA-IO'!$D$2:$D$175,0)),0)*$K15</f>
        <v>0</v>
      </c>
      <c r="P15" s="222" cm="1">
        <f t="array" ref="P15">IFERROR(INDEX('LCA-IO'!$C$2:$C$175,MATCH($A15&amp;P$1,'LCA-IO'!$B$2:$B$175&amp;'LCA-IO'!$D$2:$D$175,0)),0)*$K15</f>
        <v>0</v>
      </c>
      <c r="Q15" s="222" cm="1">
        <f t="array" ref="Q15">IFERROR(INDEX('LCA-IO'!$C$2:$C$175,MATCH($A15&amp;Q$1,'LCA-IO'!$B$2:$B$175&amp;'LCA-IO'!$D$2:$D$175,0)),0)*$K15</f>
        <v>0</v>
      </c>
      <c r="R15" s="222" cm="1">
        <f t="array" ref="R15">IFERROR(INDEX('LCA-IO'!$C$2:$C$175,MATCH($A15&amp;R$1,'LCA-IO'!$B$2:$B$175&amp;'LCA-IO'!$D$2:$D$175,0)),0)*$K15</f>
        <v>0</v>
      </c>
      <c r="S15" s="222" cm="1">
        <f t="array" ref="S15">IFERROR(INDEX('LCA-IO'!$C$2:$C$175,MATCH($A15&amp;S$1,'LCA-IO'!$B$2:$B$175&amp;'LCA-IO'!$D$2:$D$175,0)),0)*$K15</f>
        <v>0</v>
      </c>
      <c r="T15" s="222" cm="1">
        <f t="array" ref="T15">IFERROR(INDEX('LCA-IO'!$C$2:$C$175,MATCH($A15&amp;T$1,'LCA-IO'!$B$2:$B$175&amp;'LCA-IO'!$D$2:$D$175,0)),0)*$K15</f>
        <v>0</v>
      </c>
      <c r="U15" s="222" cm="1">
        <f t="array" ref="U15">IFERROR(INDEX('LCA-IO'!$C$2:$C$175,MATCH($A15&amp;U$1,'LCA-IO'!$B$2:$B$175&amp;'LCA-IO'!$D$2:$D$175,0)),0)*$K15</f>
        <v>0</v>
      </c>
      <c r="V15" s="222" cm="1">
        <f t="array" ref="V15">IFERROR(INDEX('LCA-IO'!$C$2:$C$175,MATCH($A15&amp;V$1,'LCA-IO'!$B$2:$B$175&amp;'LCA-IO'!$D$2:$D$175,0)),0)*$K15</f>
        <v>0</v>
      </c>
      <c r="W15" s="222" cm="1">
        <f t="array" ref="W15">IFERROR(INDEX('LCA-IO'!$C$2:$C$175,MATCH($A15&amp;W$1,'LCA-IO'!$B$2:$B$175&amp;'LCA-IO'!$D$2:$D$175,0)),0)*$K15</f>
        <v>0</v>
      </c>
      <c r="X15" s="222" cm="1">
        <f t="array" ref="X15">IFERROR(INDEX('LCA-IO'!$C$2:$C$175,MATCH($A15&amp;X$1,'LCA-IO'!$B$2:$B$175&amp;'LCA-IO'!$D$2:$D$175,0)),0)*$K15</f>
        <v>0</v>
      </c>
      <c r="Y15" s="222" cm="1">
        <f t="array" ref="Y15">IFERROR(INDEX('LCA-IO'!$C$2:$C$175,MATCH($A15&amp;Y$1,'LCA-IO'!$B$2:$B$175&amp;'LCA-IO'!$D$2:$D$175,0)),0)*$K15</f>
        <v>0</v>
      </c>
      <c r="Z15" s="222" cm="1">
        <f t="array" ref="Z15">IFERROR(INDEX('LCA-IO'!$C$2:$C$175,MATCH($A15&amp;Z$1,'LCA-IO'!$B$2:$B$175&amp;'LCA-IO'!$D$2:$D$175,0)),0)*$K15</f>
        <v>0</v>
      </c>
      <c r="AA15" s="222" cm="1">
        <f t="array" ref="AA15">IFERROR(INDEX('LCA-IO'!$C$2:$C$175,MATCH($A15&amp;AA$1,'LCA-IO'!$B$2:$B$175&amp;'LCA-IO'!$D$2:$D$175,0)),0)*$K15</f>
        <v>0</v>
      </c>
      <c r="AB15" s="222" cm="1">
        <f t="array" ref="AB15">IFERROR(INDEX('LCA-IO'!$C$2:$C$175,MATCH($A15&amp;AB$1,'LCA-IO'!$B$2:$B$175&amp;'LCA-IO'!$D$2:$D$175,0)),0)*$K15</f>
        <v>0</v>
      </c>
      <c r="AC15" s="222" cm="1">
        <f t="array" ref="AC15">IFERROR(INDEX('LCA-IO'!$C$2:$C$175,MATCH($A15&amp;AC$1,'LCA-IO'!$B$2:$B$175&amp;'LCA-IO'!$D$2:$D$175,0)),0)*$K15</f>
        <v>0</v>
      </c>
      <c r="AD15" s="222" cm="1">
        <f t="array" ref="AD15">IFERROR(INDEX('LCA-IO'!$C$2:$C$175,MATCH($A15&amp;AD$1,'LCA-IO'!$B$2:$B$175&amp;'LCA-IO'!$D$2:$D$175,0)),0)*$K15</f>
        <v>0</v>
      </c>
      <c r="AE15" s="223" cm="1">
        <f t="array" ref="AE15">IFERROR(INDEX('LCA-IO'!$C$2:$C$175,MATCH($A15&amp;AE$1,'LCA-IO'!$B$2:$B$175&amp;'LCA-IO'!$D$2:$D$175,0)),0)*$K15</f>
        <v>0</v>
      </c>
      <c r="AF15" s="237">
        <f>IF(IO_DB[[#This Row],[Variable]]="Jobs Created FTEs Low-skilled in 1000 Persons",IO_DB[[#This Row],[Value]],0)*1000*MIN(INDEX('Wages | VI '!$Z:$Z,MATCH(IO_DB[[#This Row],[Manufacturing Country]],'Wages | VI '!$A:$A,0)),4*INDEX('LW2023-24 | VI'!$J:$J,MATCH(IO_DB[[#This Row],[Manufacturing Country]],'LW2023-24 | VI'!$C:$C,0)))</f>
        <v>0</v>
      </c>
      <c r="AG15" s="237">
        <f>IF(IO_DB[[#This Row],[Variable]]="Jobs Created FTEs Medium-skilled in 1000 Persons",IO_DB[[#This Row],[Value]],0)*1000*MIN(INDEX('Wages | VI '!$AA:$AA,MATCH(IO_DB[[#This Row],[Manufacturing Country]],'Wages | VI '!$A:$A,0)),4*INDEX('LW2023-24 | VI'!$J:$J,MATCH(IO_DB[[#This Row],[Manufacturing Country]],'LW2023-24 | VI'!$C:$C,0)))</f>
        <v>0</v>
      </c>
      <c r="AH15" s="237">
        <f>IF(IO_DB[[#This Row],[Variable]]="Jobs Created FTEs High-skilled in 1000 Persons",IO_DB[[#This Row],[Value]],0)*1000*MIN(INDEX('Wages | VI '!$AB:$AB,MATCH(IO_DB[[#This Row],[Manufacturing Country]],'Wages | VI '!$A:$A,0)),4*INDEX('LW2023-24 | VI'!$J:$J,MATCH(IO_DB[[#This Row],[Manufacturing Country]],'LW2023-24 | VI'!$C:$C,0)))</f>
        <v>0</v>
      </c>
      <c r="AI15" s="237">
        <f>IF(IO_DB[[#This Row],[Variable]]="Jobs Created FTEs Low-skilled in 1000 Persons",IO_DB[[#This Row],[Value]],0)*1000*MAX(0,INDEX('LW2023-24 | VI'!$J:$J,MATCH(IO_DB[[#This Row],[Manufacturing Country]],'LW2023-24 | VI'!$C:$C,0))-INDEX('Wages | VI '!$Z:$Z,MATCH(IO_DB[[#This Row],[Manufacturing Country]],'Wages | VI '!$A:$A,0)))</f>
        <v>0</v>
      </c>
      <c r="AJ15" s="237">
        <f>IF(IO_DB[[#This Row],[Variable]]="Jobs Created FTEs Medium-skilled in 1000 Persons",IO_DB[[#This Row],[Value]],0)*1000*MAX(0,INDEX('LW2023-24 | VI'!$J:$J,MATCH(IO_DB[[#This Row],[Manufacturing Country]],'LW2023-24 | VI'!$C:$C,0))-INDEX('Wages | VI '!$AA:$AA,MATCH(IO_DB[[#This Row],[Manufacturing Country]],'Wages | VI '!$A:$A,0)))</f>
        <v>0</v>
      </c>
      <c r="AK15" s="237">
        <f>IF(IO_DB[[#This Row],[Variable]]="Jobs Created FTEs High-skilled in 1000 Persons",IO_DB[[#This Row],[Value]],0)*1000*MAX(0,INDEX('LW2023-24 | VI'!$J:$J,MATCH(IO_DB[[#This Row],[Manufacturing Country]],'LW2023-24 | VI'!$C:$C,0))-INDEX('Wages | VI '!$AB:$AB,MATCH(IO_DB[[#This Row],[Manufacturing Country]],'Wages | VI '!$A:$A,0)))</f>
        <v>0</v>
      </c>
      <c r="AL15" s="222">
        <f>IF(IO_DB[[#This Row],[Variable]]="Gender Pay Gap in USD",IO_DB[[#This Row],[Value]],0)</f>
        <v>0</v>
      </c>
      <c r="AM15" s="222">
        <f>IF(IO_DB[[#This Row],[Variable]]="Disability Pay Gap in USD",IO_DB[[#This Row],[Value]],0)</f>
        <v>0</v>
      </c>
      <c r="AN15" s="222">
        <f>IF(IO_DB[[#This Row],[Variable]]="Child Labor in Children",IO_DB[[#This Row],[Value]],0)*INDEX('EDU | VI'!$K:$M,MATCH(IO_DB[[#This Row],[Manufacturing Country]],'EDU | VI'!$A:$A,0),2)*'Parameters | Agora'!$B$22</f>
        <v>0</v>
      </c>
      <c r="AO15" s="222">
        <f>IF(IO_DB[[#This Row],[Variable]]="Human Capital / Training in Hours",IO_DB[[#This Row],[Value]],0)*INDEX('EDU | VI'!$K:$M,MATCH(IO_DB[[#This Row],[Manufacturing Country]],'EDU | VI'!$A:$A,0),2)</f>
        <v>0</v>
      </c>
      <c r="AP15" s="237">
        <f>IF(IO_DB[[#This Row],[Variable]]="Forced Labor in Persons",IO_DB[[#This Row],[Value]],0)*'Parameters | Agora'!$B$41</f>
        <v>0</v>
      </c>
      <c r="AQ15" s="222">
        <f>IF(IO_DB[[#This Row],[Variable]]="OHS Injury Total in Cases",IO_DB[[#This Row],[Value]],0)*INDEX('HEALTH | VI'!$L:$L,MATCH(IO_DB[[#This Row],[Manufacturing Country]],'HEALTH | VI'!$A:$A,0))</f>
        <v>0</v>
      </c>
      <c r="AR15" s="222">
        <f>IF(IO_DB[[#This Row],[Variable]]="OHS Disease/Illness Total in Cases",IO_DB[[#This Row],[Value]],0)*'Parameters | Agora'!$B$47</f>
        <v>0</v>
      </c>
      <c r="AS15" s="222">
        <f>IF(IO_DB[[#This Row],[Variable]]="Freedom of Association in Cases",IO_DB[[#This Row],[Value]],0)*'Parameters | Agora'!$B$51*INDEX('Wages | VI '!$Z:$AB,MATCH(IO_DB[[#This Row],[Manufacturing Country]],'Wages | VI '!$A:$A,0),1)</f>
        <v>0</v>
      </c>
      <c r="AT15" s="222">
        <f>IF(IO_DB[[#This Row],[Variable]]="Working Overtime in Cases",IO_DB[[#This Row],[Value]],0)*'Parameters | Agora'!$B$57</f>
        <v>0</v>
      </c>
      <c r="AU15" s="222">
        <f>IF(IO_DB[[#This Row],[Variable]]="Corporate Income Taxes (IMF Tax Revenue Database) in USD",IO_DB[[#This Row],[Value]],0)</f>
        <v>0</v>
      </c>
      <c r="AV15" s="222">
        <f>IF(IO_DB[[#This Row],[Variable]]="Personal Income Taxes (Collecting Taxes Database) in USD",IO_DB[[#This Row],[Value]],0)</f>
        <v>0</v>
      </c>
    </row>
    <row r="16" spans="1:48" ht="15.6">
      <c r="A16" t="s">
        <v>2039</v>
      </c>
      <c r="B16" t="s">
        <v>42</v>
      </c>
      <c r="C16" t="s">
        <v>2037</v>
      </c>
      <c r="D16" t="s">
        <v>2468</v>
      </c>
      <c r="E16" t="s">
        <v>612</v>
      </c>
      <c r="F16" t="s">
        <v>2469</v>
      </c>
      <c r="G16" t="s">
        <v>1727</v>
      </c>
      <c r="H16" t="s">
        <v>1728</v>
      </c>
      <c r="I16" t="s">
        <v>1728</v>
      </c>
      <c r="J16" t="s">
        <v>1728</v>
      </c>
      <c r="K16">
        <v>1.7346769154442071E-6</v>
      </c>
      <c r="L16" t="s">
        <v>1774</v>
      </c>
      <c r="M16" s="222" cm="1">
        <f t="array" ref="M16">IFERROR(INDEX('LCA-IO'!$C$2:$C$175,MATCH($A16&amp;M$1,'LCA-IO'!$B$2:$B$175&amp;'LCA-IO'!$D$2:$D$175,0)),0)*$K16</f>
        <v>0</v>
      </c>
      <c r="N16" s="222" cm="1">
        <f t="array" ref="N16">IFERROR(INDEX('LCA-IO'!$C$2:$C$175,MATCH($A16&amp;N$1,'LCA-IO'!$B$2:$B$175&amp;'LCA-IO'!$D$2:$D$175,0)),0)*$K16</f>
        <v>0</v>
      </c>
      <c r="O16" s="222" cm="1">
        <f t="array" ref="O16">IFERROR(INDEX('LCA-IO'!$C$2:$C$175,MATCH($A16&amp;O$1,'LCA-IO'!$B$2:$B$175&amp;'LCA-IO'!$D$2:$D$175,0)),0)*$K16</f>
        <v>0</v>
      </c>
      <c r="P16" s="222" cm="1">
        <f t="array" ref="P16">IFERROR(INDEX('LCA-IO'!$C$2:$C$175,MATCH($A16&amp;P$1,'LCA-IO'!$B$2:$B$175&amp;'LCA-IO'!$D$2:$D$175,0)),0)*$K16</f>
        <v>0</v>
      </c>
      <c r="Q16" s="222" cm="1">
        <f t="array" ref="Q16">IFERROR(INDEX('LCA-IO'!$C$2:$C$175,MATCH($A16&amp;Q$1,'LCA-IO'!$B$2:$B$175&amp;'LCA-IO'!$D$2:$D$175,0)),0)*$K16</f>
        <v>0</v>
      </c>
      <c r="R16" s="222" cm="1">
        <f t="array" ref="R16">IFERROR(INDEX('LCA-IO'!$C$2:$C$175,MATCH($A16&amp;R$1,'LCA-IO'!$B$2:$B$175&amp;'LCA-IO'!$D$2:$D$175,0)),0)*$K16</f>
        <v>0</v>
      </c>
      <c r="S16" s="222" cm="1">
        <f t="array" ref="S16">IFERROR(INDEX('LCA-IO'!$C$2:$C$175,MATCH($A16&amp;S$1,'LCA-IO'!$B$2:$B$175&amp;'LCA-IO'!$D$2:$D$175,0)),0)*$K16</f>
        <v>0</v>
      </c>
      <c r="T16" s="222" cm="1">
        <f t="array" ref="T16">IFERROR(INDEX('LCA-IO'!$C$2:$C$175,MATCH($A16&amp;T$1,'LCA-IO'!$B$2:$B$175&amp;'LCA-IO'!$D$2:$D$175,0)),0)*$K16</f>
        <v>0</v>
      </c>
      <c r="U16" s="222" cm="1">
        <f t="array" ref="U16">IFERROR(INDEX('LCA-IO'!$C$2:$C$175,MATCH($A16&amp;U$1,'LCA-IO'!$B$2:$B$175&amp;'LCA-IO'!$D$2:$D$175,0)),0)*$K16</f>
        <v>0</v>
      </c>
      <c r="V16" s="222" cm="1">
        <f t="array" ref="V16">IFERROR(INDEX('LCA-IO'!$C$2:$C$175,MATCH($A16&amp;V$1,'LCA-IO'!$B$2:$B$175&amp;'LCA-IO'!$D$2:$D$175,0)),0)*$K16</f>
        <v>0</v>
      </c>
      <c r="W16" s="222" cm="1">
        <f t="array" ref="W16">IFERROR(INDEX('LCA-IO'!$C$2:$C$175,MATCH($A16&amp;W$1,'LCA-IO'!$B$2:$B$175&amp;'LCA-IO'!$D$2:$D$175,0)),0)*$K16</f>
        <v>0</v>
      </c>
      <c r="X16" s="222" cm="1">
        <f t="array" ref="X16">IFERROR(INDEX('LCA-IO'!$C$2:$C$175,MATCH($A16&amp;X$1,'LCA-IO'!$B$2:$B$175&amp;'LCA-IO'!$D$2:$D$175,0)),0)*$K16</f>
        <v>0</v>
      </c>
      <c r="Y16" s="222" cm="1">
        <f t="array" ref="Y16">IFERROR(INDEX('LCA-IO'!$C$2:$C$175,MATCH($A16&amp;Y$1,'LCA-IO'!$B$2:$B$175&amp;'LCA-IO'!$D$2:$D$175,0)),0)*$K16</f>
        <v>0</v>
      </c>
      <c r="Z16" s="222" cm="1">
        <f t="array" ref="Z16">IFERROR(INDEX('LCA-IO'!$C$2:$C$175,MATCH($A16&amp;Z$1,'LCA-IO'!$B$2:$B$175&amp;'LCA-IO'!$D$2:$D$175,0)),0)*$K16</f>
        <v>0</v>
      </c>
      <c r="AA16" s="222" cm="1">
        <f t="array" ref="AA16">IFERROR(INDEX('LCA-IO'!$C$2:$C$175,MATCH($A16&amp;AA$1,'LCA-IO'!$B$2:$B$175&amp;'LCA-IO'!$D$2:$D$175,0)),0)*$K16</f>
        <v>0</v>
      </c>
      <c r="AB16" s="222" cm="1">
        <f t="array" ref="AB16">IFERROR(INDEX('LCA-IO'!$C$2:$C$175,MATCH($A16&amp;AB$1,'LCA-IO'!$B$2:$B$175&amp;'LCA-IO'!$D$2:$D$175,0)),0)*$K16</f>
        <v>0</v>
      </c>
      <c r="AC16" s="222" cm="1">
        <f t="array" ref="AC16">IFERROR(INDEX('LCA-IO'!$C$2:$C$175,MATCH($A16&amp;AC$1,'LCA-IO'!$B$2:$B$175&amp;'LCA-IO'!$D$2:$D$175,0)),0)*$K16</f>
        <v>0</v>
      </c>
      <c r="AD16" s="222" cm="1">
        <f t="array" ref="AD16">IFERROR(INDEX('LCA-IO'!$C$2:$C$175,MATCH($A16&amp;AD$1,'LCA-IO'!$B$2:$B$175&amp;'LCA-IO'!$D$2:$D$175,0)),0)*$K16</f>
        <v>0</v>
      </c>
      <c r="AE16" s="223" cm="1">
        <f t="array" ref="AE16">IFERROR(INDEX('LCA-IO'!$C$2:$C$175,MATCH($A16&amp;AE$1,'LCA-IO'!$B$2:$B$175&amp;'LCA-IO'!$D$2:$D$175,0)),0)*$K16</f>
        <v>0</v>
      </c>
      <c r="AF16" s="237">
        <f>IF(IO_DB[[#This Row],[Variable]]="Jobs Created FTEs Low-skilled in 1000 Persons",IO_DB[[#This Row],[Value]],0)*1000*MIN(INDEX('Wages | VI '!$Z:$Z,MATCH(IO_DB[[#This Row],[Manufacturing Country]],'Wages | VI '!$A:$A,0)),4*INDEX('LW2023-24 | VI'!$J:$J,MATCH(IO_DB[[#This Row],[Manufacturing Country]],'LW2023-24 | VI'!$C:$C,0)))</f>
        <v>0</v>
      </c>
      <c r="AG16" s="237">
        <f>IF(IO_DB[[#This Row],[Variable]]="Jobs Created FTEs Medium-skilled in 1000 Persons",IO_DB[[#This Row],[Value]],0)*1000*MIN(INDEX('Wages | VI '!$AA:$AA,MATCH(IO_DB[[#This Row],[Manufacturing Country]],'Wages | VI '!$A:$A,0)),4*INDEX('LW2023-24 | VI'!$J:$J,MATCH(IO_DB[[#This Row],[Manufacturing Country]],'LW2023-24 | VI'!$C:$C,0)))</f>
        <v>0</v>
      </c>
      <c r="AH16" s="237">
        <f>IF(IO_DB[[#This Row],[Variable]]="Jobs Created FTEs High-skilled in 1000 Persons",IO_DB[[#This Row],[Value]],0)*1000*MIN(INDEX('Wages | VI '!$AB:$AB,MATCH(IO_DB[[#This Row],[Manufacturing Country]],'Wages | VI '!$A:$A,0)),4*INDEX('LW2023-24 | VI'!$J:$J,MATCH(IO_DB[[#This Row],[Manufacturing Country]],'LW2023-24 | VI'!$C:$C,0)))</f>
        <v>0</v>
      </c>
      <c r="AI16" s="237">
        <f>IF(IO_DB[[#This Row],[Variable]]="Jobs Created FTEs Low-skilled in 1000 Persons",IO_DB[[#This Row],[Value]],0)*1000*MAX(0,INDEX('LW2023-24 | VI'!$J:$J,MATCH(IO_DB[[#This Row],[Manufacturing Country]],'LW2023-24 | VI'!$C:$C,0))-INDEX('Wages | VI '!$Z:$Z,MATCH(IO_DB[[#This Row],[Manufacturing Country]],'Wages | VI '!$A:$A,0)))</f>
        <v>0</v>
      </c>
      <c r="AJ16" s="237">
        <f>IF(IO_DB[[#This Row],[Variable]]="Jobs Created FTEs Medium-skilled in 1000 Persons",IO_DB[[#This Row],[Value]],0)*1000*MAX(0,INDEX('LW2023-24 | VI'!$J:$J,MATCH(IO_DB[[#This Row],[Manufacturing Country]],'LW2023-24 | VI'!$C:$C,0))-INDEX('Wages | VI '!$AA:$AA,MATCH(IO_DB[[#This Row],[Manufacturing Country]],'Wages | VI '!$A:$A,0)))</f>
        <v>0</v>
      </c>
      <c r="AK16" s="237">
        <f>IF(IO_DB[[#This Row],[Variable]]="Jobs Created FTEs High-skilled in 1000 Persons",IO_DB[[#This Row],[Value]],0)*1000*MAX(0,INDEX('LW2023-24 | VI'!$J:$J,MATCH(IO_DB[[#This Row],[Manufacturing Country]],'LW2023-24 | VI'!$C:$C,0))-INDEX('Wages | VI '!$AB:$AB,MATCH(IO_DB[[#This Row],[Manufacturing Country]],'Wages | VI '!$A:$A,0)))</f>
        <v>0</v>
      </c>
      <c r="AL16" s="222">
        <f>IF(IO_DB[[#This Row],[Variable]]="Gender Pay Gap in USD",IO_DB[[#This Row],[Value]],0)</f>
        <v>0</v>
      </c>
      <c r="AM16" s="222">
        <f>IF(IO_DB[[#This Row],[Variable]]="Disability Pay Gap in USD",IO_DB[[#This Row],[Value]],0)</f>
        <v>0</v>
      </c>
      <c r="AN16" s="222">
        <f>IF(IO_DB[[#This Row],[Variable]]="Child Labor in Children",IO_DB[[#This Row],[Value]],0)*INDEX('EDU | VI'!$K:$M,MATCH(IO_DB[[#This Row],[Manufacturing Country]],'EDU | VI'!$A:$A,0),2)*'Parameters | Agora'!$B$22</f>
        <v>0</v>
      </c>
      <c r="AO16" s="222">
        <f>IF(IO_DB[[#This Row],[Variable]]="Human Capital / Training in Hours",IO_DB[[#This Row],[Value]],0)*INDEX('EDU | VI'!$K:$M,MATCH(IO_DB[[#This Row],[Manufacturing Country]],'EDU | VI'!$A:$A,0),2)</f>
        <v>0</v>
      </c>
      <c r="AP16" s="237">
        <f>IF(IO_DB[[#This Row],[Variable]]="Forced Labor in Persons",IO_DB[[#This Row],[Value]],0)*'Parameters | Agora'!$B$41</f>
        <v>0</v>
      </c>
      <c r="AQ16" s="222">
        <f>IF(IO_DB[[#This Row],[Variable]]="OHS Injury Total in Cases",IO_DB[[#This Row],[Value]],0)*INDEX('HEALTH | VI'!$L:$L,MATCH(IO_DB[[#This Row],[Manufacturing Country]],'HEALTH | VI'!$A:$A,0))</f>
        <v>0</v>
      </c>
      <c r="AR16" s="222">
        <f>IF(IO_DB[[#This Row],[Variable]]="OHS Disease/Illness Total in Cases",IO_DB[[#This Row],[Value]],0)*'Parameters | Agora'!$B$47</f>
        <v>0</v>
      </c>
      <c r="AS16" s="222">
        <f>IF(IO_DB[[#This Row],[Variable]]="Freedom of Association in Cases",IO_DB[[#This Row],[Value]],0)*'Parameters | Agora'!$B$51*INDEX('Wages | VI '!$Z:$AB,MATCH(IO_DB[[#This Row],[Manufacturing Country]],'Wages | VI '!$A:$A,0),1)</f>
        <v>0</v>
      </c>
      <c r="AT16" s="222">
        <f>IF(IO_DB[[#This Row],[Variable]]="Working Overtime in Cases",IO_DB[[#This Row],[Value]],0)*'Parameters | Agora'!$B$57</f>
        <v>1.2009301722306047E-8</v>
      </c>
      <c r="AU16" s="222">
        <f>IF(IO_DB[[#This Row],[Variable]]="Corporate Income Taxes (IMF Tax Revenue Database) in USD",IO_DB[[#This Row],[Value]],0)</f>
        <v>0</v>
      </c>
      <c r="AV16" s="222">
        <f>IF(IO_DB[[#This Row],[Variable]]="Personal Income Taxes (Collecting Taxes Database) in USD",IO_DB[[#This Row],[Value]],0)</f>
        <v>0</v>
      </c>
    </row>
  </sheetData>
  <pageMargins left="0.75" right="0.75" top="1" bottom="1" header="0.5" footer="0.5"/>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BD67B-7E27-6545-B065-656AE933BAEC}">
  <dimension ref="A1:T189"/>
  <sheetViews>
    <sheetView showGridLines="0" zoomScale="110" zoomScaleNormal="90" workbookViewId="0">
      <selection activeCell="AD20" sqref="AD20"/>
    </sheetView>
  </sheetViews>
  <sheetFormatPr defaultColWidth="10.69921875" defaultRowHeight="15.6"/>
  <cols>
    <col min="1" max="2" width="19" style="315" bestFit="1" customWidth="1"/>
    <col min="3" max="3" width="19.69921875" style="315" bestFit="1" customWidth="1"/>
    <col min="4" max="4" width="24" style="313" bestFit="1" customWidth="1"/>
    <col min="5" max="5" width="28.19921875" style="313" bestFit="1" customWidth="1"/>
    <col min="6" max="6" width="22.19921875" style="313" bestFit="1" customWidth="1"/>
    <col min="7" max="7" width="28.69921875" style="313" customWidth="1"/>
    <col min="8" max="15" width="10.69921875" style="313"/>
    <col min="21" max="16384" width="10.69921875" style="313"/>
  </cols>
  <sheetData>
    <row r="1" spans="1:20">
      <c r="A1" s="311" t="s">
        <v>2104</v>
      </c>
      <c r="B1" s="311" t="s">
        <v>2105</v>
      </c>
      <c r="C1" s="311" t="s">
        <v>2106</v>
      </c>
      <c r="D1" s="312" t="s">
        <v>2107</v>
      </c>
      <c r="E1" t="s">
        <v>2108</v>
      </c>
      <c r="F1" t="s">
        <v>2109</v>
      </c>
      <c r="G1" s="313" t="s">
        <v>2110</v>
      </c>
      <c r="T1" s="314"/>
    </row>
    <row r="2" spans="1:20">
      <c r="A2" t="s">
        <v>2111</v>
      </c>
      <c r="B2" s="315" t="s">
        <v>318</v>
      </c>
      <c r="C2" s="315" t="s">
        <v>317</v>
      </c>
      <c r="D2" s="316" t="s">
        <v>118</v>
      </c>
      <c r="E2" s="316" t="s">
        <v>2083</v>
      </c>
      <c r="F2" s="316" t="s">
        <v>2094</v>
      </c>
      <c r="G2" s="316" t="s">
        <v>2112</v>
      </c>
    </row>
    <row r="3" spans="1:20">
      <c r="A3" t="s">
        <v>2113</v>
      </c>
      <c r="B3" s="315" t="s">
        <v>321</v>
      </c>
      <c r="C3" s="315" t="s">
        <v>320</v>
      </c>
      <c r="D3" s="316" t="s">
        <v>115</v>
      </c>
      <c r="E3" s="316" t="s">
        <v>2080</v>
      </c>
      <c r="F3" s="316" t="s">
        <v>1515</v>
      </c>
      <c r="G3" s="316" t="s">
        <v>2114</v>
      </c>
    </row>
    <row r="4" spans="1:20">
      <c r="A4" t="s">
        <v>2115</v>
      </c>
      <c r="B4" s="315" t="s">
        <v>324</v>
      </c>
      <c r="C4" s="315" t="s">
        <v>323</v>
      </c>
      <c r="D4" s="316" t="s">
        <v>117</v>
      </c>
      <c r="E4" s="316" t="s">
        <v>2082</v>
      </c>
      <c r="F4" s="316" t="s">
        <v>117</v>
      </c>
      <c r="G4" s="316" t="s">
        <v>2114</v>
      </c>
    </row>
    <row r="5" spans="1:20">
      <c r="A5" t="s">
        <v>2116</v>
      </c>
      <c r="B5" s="315" t="s">
        <v>689</v>
      </c>
      <c r="C5" s="315" t="s">
        <v>688</v>
      </c>
      <c r="D5" s="316" t="s">
        <v>115</v>
      </c>
      <c r="E5" s="316" t="s">
        <v>2080</v>
      </c>
      <c r="F5" s="316" t="s">
        <v>1515</v>
      </c>
      <c r="G5" s="316" t="s">
        <v>2117</v>
      </c>
    </row>
    <row r="6" spans="1:20">
      <c r="A6" t="s">
        <v>2118</v>
      </c>
      <c r="B6" s="315" t="s">
        <v>327</v>
      </c>
      <c r="C6" s="315" t="s">
        <v>326</v>
      </c>
      <c r="D6" s="316" t="s">
        <v>119</v>
      </c>
      <c r="E6" s="316" t="s">
        <v>119</v>
      </c>
      <c r="F6" s="316" t="s">
        <v>119</v>
      </c>
      <c r="G6" s="316" t="s">
        <v>2119</v>
      </c>
    </row>
    <row r="7" spans="1:20">
      <c r="A7" t="s">
        <v>2120</v>
      </c>
      <c r="B7" s="315" t="s">
        <v>329</v>
      </c>
      <c r="C7" s="315" t="s">
        <v>2121</v>
      </c>
      <c r="D7" s="316" t="s">
        <v>116</v>
      </c>
      <c r="E7" s="316" t="s">
        <v>2076</v>
      </c>
      <c r="F7" s="316" t="s">
        <v>2093</v>
      </c>
      <c r="G7" s="316" t="s">
        <v>2117</v>
      </c>
    </row>
    <row r="8" spans="1:20">
      <c r="A8" t="s">
        <v>2122</v>
      </c>
      <c r="B8" s="315" t="s">
        <v>331</v>
      </c>
      <c r="C8" s="315" t="s">
        <v>330</v>
      </c>
      <c r="D8" s="316" t="s">
        <v>116</v>
      </c>
      <c r="E8" s="316" t="s">
        <v>2079</v>
      </c>
      <c r="F8" s="316" t="s">
        <v>2093</v>
      </c>
      <c r="G8" s="316" t="s">
        <v>2114</v>
      </c>
    </row>
    <row r="9" spans="1:20">
      <c r="A9" t="s">
        <v>2123</v>
      </c>
      <c r="B9" s="315" t="s">
        <v>333</v>
      </c>
      <c r="C9" s="315" t="s">
        <v>332</v>
      </c>
      <c r="D9" s="316" t="s">
        <v>115</v>
      </c>
      <c r="E9" s="316" t="s">
        <v>2081</v>
      </c>
      <c r="F9" s="316" t="s">
        <v>2094</v>
      </c>
      <c r="G9" s="316" t="s">
        <v>2114</v>
      </c>
    </row>
    <row r="10" spans="1:20">
      <c r="A10" t="s">
        <v>2124</v>
      </c>
      <c r="B10" s="315" t="s">
        <v>687</v>
      </c>
      <c r="C10" s="315" t="s">
        <v>686</v>
      </c>
      <c r="D10" s="316" t="s">
        <v>116</v>
      </c>
      <c r="E10" s="316" t="s">
        <v>2076</v>
      </c>
      <c r="F10" s="316" t="s">
        <v>2093</v>
      </c>
      <c r="G10" s="316" t="s">
        <v>2117</v>
      </c>
    </row>
    <row r="11" spans="1:20">
      <c r="A11" t="s">
        <v>2125</v>
      </c>
      <c r="B11" s="315" t="s">
        <v>335</v>
      </c>
      <c r="C11" s="315" t="s">
        <v>334</v>
      </c>
      <c r="D11" s="316" t="s">
        <v>114</v>
      </c>
      <c r="E11" s="316" t="s">
        <v>2086</v>
      </c>
      <c r="F11" s="316" t="s">
        <v>2085</v>
      </c>
      <c r="G11" s="316" t="s">
        <v>2117</v>
      </c>
    </row>
    <row r="12" spans="1:20">
      <c r="A12" t="s">
        <v>2126</v>
      </c>
      <c r="B12" s="315" t="s">
        <v>337</v>
      </c>
      <c r="C12" s="315" t="s">
        <v>336</v>
      </c>
      <c r="D12" s="316" t="s">
        <v>115</v>
      </c>
      <c r="E12" s="316" t="s">
        <v>2078</v>
      </c>
      <c r="F12" s="316" t="s">
        <v>1515</v>
      </c>
      <c r="G12" s="316" t="s">
        <v>2117</v>
      </c>
    </row>
    <row r="13" spans="1:20">
      <c r="A13" t="s">
        <v>2127</v>
      </c>
      <c r="B13" s="315" t="s">
        <v>339</v>
      </c>
      <c r="C13" s="315" t="s">
        <v>338</v>
      </c>
      <c r="D13" s="316" t="s">
        <v>115</v>
      </c>
      <c r="E13" s="316" t="s">
        <v>2081</v>
      </c>
      <c r="F13" s="316" t="s">
        <v>2094</v>
      </c>
      <c r="G13" s="316" t="s">
        <v>2114</v>
      </c>
    </row>
    <row r="14" spans="1:20">
      <c r="A14" t="s">
        <v>2128</v>
      </c>
      <c r="B14" s="315" t="s">
        <v>341</v>
      </c>
      <c r="C14" s="315" t="s">
        <v>2129</v>
      </c>
      <c r="D14" s="316" t="s">
        <v>116</v>
      </c>
      <c r="E14" s="316" t="s">
        <v>2076</v>
      </c>
      <c r="F14" s="316" t="s">
        <v>2093</v>
      </c>
      <c r="G14" s="316" t="s">
        <v>2117</v>
      </c>
    </row>
    <row r="15" spans="1:20">
      <c r="A15" t="s">
        <v>2130</v>
      </c>
      <c r="B15" s="315" t="s">
        <v>691</v>
      </c>
      <c r="C15" s="315" t="s">
        <v>690</v>
      </c>
      <c r="D15" s="316" t="s">
        <v>117</v>
      </c>
      <c r="E15" s="316" t="s">
        <v>2082</v>
      </c>
      <c r="F15" s="316" t="s">
        <v>2094</v>
      </c>
      <c r="G15" s="316" t="s">
        <v>2117</v>
      </c>
    </row>
    <row r="16" spans="1:20">
      <c r="A16" t="s">
        <v>2131</v>
      </c>
      <c r="B16" s="315" t="s">
        <v>343</v>
      </c>
      <c r="C16" s="315" t="s">
        <v>342</v>
      </c>
      <c r="D16" s="316" t="s">
        <v>118</v>
      </c>
      <c r="E16" s="316" t="s">
        <v>2083</v>
      </c>
      <c r="F16" s="316" t="s">
        <v>2094</v>
      </c>
      <c r="G16" s="316" t="s">
        <v>2119</v>
      </c>
    </row>
    <row r="17" spans="1:7">
      <c r="A17" t="s">
        <v>2132</v>
      </c>
      <c r="B17" s="315" t="s">
        <v>345</v>
      </c>
      <c r="C17" s="315" t="s">
        <v>344</v>
      </c>
      <c r="D17" s="316" t="s">
        <v>116</v>
      </c>
      <c r="E17" s="316" t="s">
        <v>2076</v>
      </c>
      <c r="F17" s="316" t="s">
        <v>2093</v>
      </c>
      <c r="G17" s="316" t="s">
        <v>2117</v>
      </c>
    </row>
    <row r="18" spans="1:7">
      <c r="A18" t="s">
        <v>2133</v>
      </c>
      <c r="B18" s="315" t="s">
        <v>347</v>
      </c>
      <c r="C18" s="315" t="s">
        <v>346</v>
      </c>
      <c r="D18" s="316" t="s">
        <v>115</v>
      </c>
      <c r="E18" s="316" t="s">
        <v>2081</v>
      </c>
      <c r="F18" s="316" t="s">
        <v>1515</v>
      </c>
      <c r="G18" s="316" t="s">
        <v>2114</v>
      </c>
    </row>
    <row r="19" spans="1:7">
      <c r="A19" t="s">
        <v>2134</v>
      </c>
      <c r="B19" s="315" t="s">
        <v>349</v>
      </c>
      <c r="C19" s="315" t="s">
        <v>348</v>
      </c>
      <c r="D19" s="316" t="s">
        <v>115</v>
      </c>
      <c r="E19" s="316" t="s">
        <v>2078</v>
      </c>
      <c r="F19" s="316" t="s">
        <v>1515</v>
      </c>
      <c r="G19" s="316" t="s">
        <v>2117</v>
      </c>
    </row>
    <row r="20" spans="1:7">
      <c r="A20" t="s">
        <v>2135</v>
      </c>
      <c r="B20" s="315" t="s">
        <v>351</v>
      </c>
      <c r="C20" s="315" t="s">
        <v>350</v>
      </c>
      <c r="D20" s="316" t="s">
        <v>116</v>
      </c>
      <c r="E20" s="316" t="s">
        <v>2076</v>
      </c>
      <c r="F20" s="316" t="s">
        <v>2093</v>
      </c>
      <c r="G20" s="316" t="s">
        <v>2114</v>
      </c>
    </row>
    <row r="21" spans="1:7">
      <c r="A21" t="s">
        <v>2136</v>
      </c>
      <c r="B21" s="315" t="s">
        <v>353</v>
      </c>
      <c r="C21" s="315" t="s">
        <v>352</v>
      </c>
      <c r="D21" s="316" t="s">
        <v>119</v>
      </c>
      <c r="E21" s="316" t="s">
        <v>119</v>
      </c>
      <c r="F21" s="316" t="s">
        <v>119</v>
      </c>
      <c r="G21" s="316" t="s">
        <v>2119</v>
      </c>
    </row>
    <row r="22" spans="1:7">
      <c r="A22" t="s">
        <v>2137</v>
      </c>
      <c r="B22" s="315" t="s">
        <v>693</v>
      </c>
      <c r="C22" s="315" t="s">
        <v>692</v>
      </c>
      <c r="D22" s="316" t="s">
        <v>116</v>
      </c>
      <c r="E22" s="316" t="s">
        <v>2076</v>
      </c>
      <c r="F22" s="316" t="s">
        <v>2093</v>
      </c>
      <c r="G22" s="316" t="s">
        <v>2117</v>
      </c>
    </row>
    <row r="23" spans="1:7">
      <c r="A23" t="s">
        <v>2138</v>
      </c>
      <c r="B23" s="315" t="s">
        <v>355</v>
      </c>
      <c r="C23" s="315" t="s">
        <v>354</v>
      </c>
      <c r="D23" s="316" t="s">
        <v>118</v>
      </c>
      <c r="E23" s="316" t="s">
        <v>2083</v>
      </c>
      <c r="F23" s="316" t="s">
        <v>2094</v>
      </c>
      <c r="G23" s="316" t="s">
        <v>2119</v>
      </c>
    </row>
    <row r="24" spans="1:7">
      <c r="A24" t="s">
        <v>2139</v>
      </c>
      <c r="B24" s="315" t="s">
        <v>357</v>
      </c>
      <c r="C24" s="315" t="s">
        <v>356</v>
      </c>
      <c r="D24" s="316" t="s">
        <v>116</v>
      </c>
      <c r="E24" s="316" t="s">
        <v>2079</v>
      </c>
      <c r="F24" s="316" t="s">
        <v>2093</v>
      </c>
      <c r="G24" s="316" t="s">
        <v>2119</v>
      </c>
    </row>
    <row r="25" spans="1:7">
      <c r="A25" t="s">
        <v>2140</v>
      </c>
      <c r="B25" s="315" t="s">
        <v>359</v>
      </c>
      <c r="C25" s="315" t="s">
        <v>358</v>
      </c>
      <c r="D25" s="316" t="s">
        <v>115</v>
      </c>
      <c r="E25" s="316" t="s">
        <v>2080</v>
      </c>
      <c r="F25" s="316" t="s">
        <v>1515</v>
      </c>
      <c r="G25" s="316" t="s">
        <v>2114</v>
      </c>
    </row>
    <row r="26" spans="1:7">
      <c r="A26" t="s">
        <v>2141</v>
      </c>
      <c r="B26" s="315" t="s">
        <v>361</v>
      </c>
      <c r="C26" s="315" t="s">
        <v>360</v>
      </c>
      <c r="D26" s="316" t="s">
        <v>119</v>
      </c>
      <c r="E26" s="316" t="s">
        <v>119</v>
      </c>
      <c r="F26" s="316" t="s">
        <v>119</v>
      </c>
      <c r="G26" s="316" t="s">
        <v>2114</v>
      </c>
    </row>
    <row r="27" spans="1:7">
      <c r="A27" t="s">
        <v>2142</v>
      </c>
      <c r="B27" s="315" t="s">
        <v>363</v>
      </c>
      <c r="C27" s="315" t="s">
        <v>362</v>
      </c>
      <c r="D27" s="316" t="s">
        <v>116</v>
      </c>
      <c r="E27" s="316" t="s">
        <v>2079</v>
      </c>
      <c r="F27" s="316" t="s">
        <v>2093</v>
      </c>
      <c r="G27" s="316" t="s">
        <v>2114</v>
      </c>
    </row>
    <row r="28" spans="1:7">
      <c r="A28" t="s">
        <v>2143</v>
      </c>
      <c r="B28" s="315" t="s">
        <v>721</v>
      </c>
      <c r="C28" s="315" t="s">
        <v>720</v>
      </c>
      <c r="D28" s="316" t="s">
        <v>116</v>
      </c>
      <c r="E28" s="316" t="s">
        <v>2076</v>
      </c>
      <c r="F28" s="316" t="s">
        <v>2093</v>
      </c>
      <c r="G28" s="316" t="s">
        <v>2117</v>
      </c>
    </row>
    <row r="29" spans="1:7">
      <c r="A29" t="s">
        <v>2144</v>
      </c>
      <c r="B29" s="315" t="s">
        <v>365</v>
      </c>
      <c r="C29" s="315" t="s">
        <v>2145</v>
      </c>
      <c r="D29" s="316" t="s">
        <v>114</v>
      </c>
      <c r="E29" s="316" t="s">
        <v>2084</v>
      </c>
      <c r="F29" s="316" t="s">
        <v>2094</v>
      </c>
      <c r="G29" s="316" t="s">
        <v>2117</v>
      </c>
    </row>
    <row r="30" spans="1:7">
      <c r="A30" t="s">
        <v>2146</v>
      </c>
      <c r="B30" s="315" t="s">
        <v>367</v>
      </c>
      <c r="C30" s="315" t="s">
        <v>366</v>
      </c>
      <c r="D30" s="316" t="s">
        <v>115</v>
      </c>
      <c r="E30" s="316" t="s">
        <v>2081</v>
      </c>
      <c r="F30" s="316" t="s">
        <v>1515</v>
      </c>
      <c r="G30" s="316" t="s">
        <v>2117</v>
      </c>
    </row>
    <row r="31" spans="1:7">
      <c r="A31" t="s">
        <v>2147</v>
      </c>
      <c r="B31" s="315" t="s">
        <v>369</v>
      </c>
      <c r="C31" s="315" t="s">
        <v>368</v>
      </c>
      <c r="D31" s="316" t="s">
        <v>119</v>
      </c>
      <c r="E31" s="316" t="s">
        <v>119</v>
      </c>
      <c r="F31" s="316" t="s">
        <v>119</v>
      </c>
      <c r="G31" s="316" t="s">
        <v>2112</v>
      </c>
    </row>
    <row r="32" spans="1:7">
      <c r="A32" t="s">
        <v>2148</v>
      </c>
      <c r="B32" s="315" t="s">
        <v>371</v>
      </c>
      <c r="C32" s="315" t="s">
        <v>370</v>
      </c>
      <c r="D32" s="316" t="s">
        <v>119</v>
      </c>
      <c r="E32" s="316" t="s">
        <v>119</v>
      </c>
      <c r="F32" s="316" t="s">
        <v>119</v>
      </c>
      <c r="G32" s="316" t="s">
        <v>2112</v>
      </c>
    </row>
    <row r="33" spans="1:7">
      <c r="A33" t="s">
        <v>2149</v>
      </c>
      <c r="B33" s="315" t="s">
        <v>375</v>
      </c>
      <c r="C33" s="315" t="s">
        <v>374</v>
      </c>
      <c r="D33" s="316" t="s">
        <v>114</v>
      </c>
      <c r="E33" s="316" t="s">
        <v>2084</v>
      </c>
      <c r="F33" s="316" t="s">
        <v>2094</v>
      </c>
      <c r="G33" s="316" t="s">
        <v>2119</v>
      </c>
    </row>
    <row r="34" spans="1:7">
      <c r="A34" t="s">
        <v>2150</v>
      </c>
      <c r="B34" s="315" t="s">
        <v>377</v>
      </c>
      <c r="C34" s="315" t="s">
        <v>376</v>
      </c>
      <c r="D34" s="316" t="s">
        <v>119</v>
      </c>
      <c r="E34" s="316" t="s">
        <v>119</v>
      </c>
      <c r="F34" s="316" t="s">
        <v>119</v>
      </c>
      <c r="G34" s="316" t="s">
        <v>2119</v>
      </c>
    </row>
    <row r="35" spans="1:7">
      <c r="A35" t="s">
        <v>2151</v>
      </c>
      <c r="B35" s="315" t="s">
        <v>379</v>
      </c>
      <c r="C35" s="315" t="s">
        <v>378</v>
      </c>
      <c r="D35" s="316" t="s">
        <v>120</v>
      </c>
      <c r="E35" s="316" t="s">
        <v>120</v>
      </c>
      <c r="F35" s="316" t="s">
        <v>2093</v>
      </c>
      <c r="G35" s="316" t="s">
        <v>2117</v>
      </c>
    </row>
    <row r="36" spans="1:7">
      <c r="A36" t="s">
        <v>2152</v>
      </c>
      <c r="B36" s="315" t="s">
        <v>373</v>
      </c>
      <c r="C36" s="315" t="s">
        <v>2153</v>
      </c>
      <c r="D36" s="316" t="s">
        <v>119</v>
      </c>
      <c r="E36" s="316" t="s">
        <v>119</v>
      </c>
      <c r="F36" s="316" t="s">
        <v>314</v>
      </c>
      <c r="G36" s="316" t="s">
        <v>2114</v>
      </c>
    </row>
    <row r="37" spans="1:7">
      <c r="A37" t="s">
        <v>2154</v>
      </c>
      <c r="B37" s="315" t="s">
        <v>695</v>
      </c>
      <c r="C37" s="315" t="s">
        <v>694</v>
      </c>
      <c r="D37" s="316" t="s">
        <v>116</v>
      </c>
      <c r="E37" s="316" t="s">
        <v>2076</v>
      </c>
      <c r="F37" s="316" t="s">
        <v>2093</v>
      </c>
      <c r="G37" s="316" t="s">
        <v>2117</v>
      </c>
    </row>
    <row r="38" spans="1:7">
      <c r="A38" t="s">
        <v>2155</v>
      </c>
      <c r="B38" s="315" t="s">
        <v>381</v>
      </c>
      <c r="C38" s="315" t="s">
        <v>380</v>
      </c>
      <c r="D38" s="316" t="s">
        <v>119</v>
      </c>
      <c r="E38" s="316" t="s">
        <v>119</v>
      </c>
      <c r="F38" s="316" t="s">
        <v>119</v>
      </c>
      <c r="G38" s="316" t="s">
        <v>2112</v>
      </c>
    </row>
    <row r="39" spans="1:7">
      <c r="A39" t="s">
        <v>2156</v>
      </c>
      <c r="B39" s="315" t="s">
        <v>383</v>
      </c>
      <c r="C39" s="315" t="s">
        <v>382</v>
      </c>
      <c r="D39" s="316" t="s">
        <v>119</v>
      </c>
      <c r="E39" s="316" t="s">
        <v>119</v>
      </c>
      <c r="F39" s="316" t="s">
        <v>119</v>
      </c>
      <c r="G39" s="316" t="s">
        <v>2112</v>
      </c>
    </row>
    <row r="40" spans="1:7">
      <c r="A40" t="s">
        <v>2157</v>
      </c>
      <c r="B40" s="315" t="s">
        <v>385</v>
      </c>
      <c r="C40" s="315" t="s">
        <v>384</v>
      </c>
      <c r="D40" s="316" t="s">
        <v>116</v>
      </c>
      <c r="E40" s="316" t="s">
        <v>2079</v>
      </c>
      <c r="F40" s="316" t="s">
        <v>2093</v>
      </c>
      <c r="G40" s="316" t="s">
        <v>2117</v>
      </c>
    </row>
    <row r="41" spans="1:7">
      <c r="A41" t="s">
        <v>2158</v>
      </c>
      <c r="B41" s="315" t="s">
        <v>387</v>
      </c>
      <c r="C41" s="315" t="s">
        <v>386</v>
      </c>
      <c r="D41" s="316" t="s">
        <v>114</v>
      </c>
      <c r="E41" s="316" t="s">
        <v>2084</v>
      </c>
      <c r="F41" s="316" t="s">
        <v>386</v>
      </c>
      <c r="G41" s="316" t="s">
        <v>2114</v>
      </c>
    </row>
    <row r="42" spans="1:7">
      <c r="A42" t="s">
        <v>2159</v>
      </c>
      <c r="B42" s="315" t="s">
        <v>389</v>
      </c>
      <c r="C42" s="315" t="s">
        <v>388</v>
      </c>
      <c r="D42" s="316" t="s">
        <v>116</v>
      </c>
      <c r="E42" s="316" t="s">
        <v>2079</v>
      </c>
      <c r="F42" s="316" t="s">
        <v>2093</v>
      </c>
      <c r="G42" s="316" t="s">
        <v>2114</v>
      </c>
    </row>
    <row r="43" spans="1:7">
      <c r="A43" t="s">
        <v>2160</v>
      </c>
      <c r="B43" s="315" t="s">
        <v>395</v>
      </c>
      <c r="C43" s="315" t="s">
        <v>2161</v>
      </c>
      <c r="D43" s="316" t="s">
        <v>119</v>
      </c>
      <c r="E43" s="316" t="s">
        <v>119</v>
      </c>
      <c r="F43" s="316" t="s">
        <v>119</v>
      </c>
      <c r="G43" s="316" t="s">
        <v>2119</v>
      </c>
    </row>
    <row r="44" spans="1:7">
      <c r="A44" t="s">
        <v>2162</v>
      </c>
      <c r="B44" s="315" t="s">
        <v>397</v>
      </c>
      <c r="C44" s="315" t="s">
        <v>396</v>
      </c>
      <c r="D44" s="316" t="s">
        <v>116</v>
      </c>
      <c r="E44" s="316" t="s">
        <v>2076</v>
      </c>
      <c r="F44" s="316" t="s">
        <v>2093</v>
      </c>
      <c r="G44" s="316" t="s">
        <v>2117</v>
      </c>
    </row>
    <row r="45" spans="1:7">
      <c r="A45" t="s">
        <v>2163</v>
      </c>
      <c r="B45" s="315" t="s">
        <v>399</v>
      </c>
      <c r="C45" s="315" t="s">
        <v>2164</v>
      </c>
      <c r="D45" s="316" t="s">
        <v>119</v>
      </c>
      <c r="E45" s="316" t="s">
        <v>119</v>
      </c>
      <c r="F45" s="316" t="s">
        <v>119</v>
      </c>
      <c r="G45" s="316" t="s">
        <v>2119</v>
      </c>
    </row>
    <row r="46" spans="1:7">
      <c r="A46" t="s">
        <v>2165</v>
      </c>
      <c r="B46" s="315" t="s">
        <v>75</v>
      </c>
      <c r="C46" s="315" t="s">
        <v>74</v>
      </c>
      <c r="D46" s="316" t="s">
        <v>115</v>
      </c>
      <c r="E46" s="316" t="s">
        <v>2080</v>
      </c>
      <c r="F46" s="316" t="s">
        <v>1515</v>
      </c>
      <c r="G46" s="316" t="s">
        <v>2117</v>
      </c>
    </row>
    <row r="47" spans="1:7">
      <c r="A47" t="s">
        <v>2166</v>
      </c>
      <c r="B47" s="315" t="s">
        <v>401</v>
      </c>
      <c r="C47" s="315" t="s">
        <v>400</v>
      </c>
      <c r="D47" s="316" t="s">
        <v>116</v>
      </c>
      <c r="E47" s="316" t="s">
        <v>2076</v>
      </c>
      <c r="F47" s="316" t="s">
        <v>2093</v>
      </c>
      <c r="G47" s="316" t="s">
        <v>2114</v>
      </c>
    </row>
    <row r="48" spans="1:7">
      <c r="A48" t="s">
        <v>2167</v>
      </c>
      <c r="B48" s="315" t="s">
        <v>403</v>
      </c>
      <c r="C48" s="315" t="s">
        <v>402</v>
      </c>
      <c r="D48" s="316" t="s">
        <v>115</v>
      </c>
      <c r="E48" s="316" t="s">
        <v>2080</v>
      </c>
      <c r="F48" s="316" t="s">
        <v>1515</v>
      </c>
      <c r="G48" s="316" t="s">
        <v>2117</v>
      </c>
    </row>
    <row r="49" spans="1:7">
      <c r="A49" t="s">
        <v>2168</v>
      </c>
      <c r="B49" s="315" t="s">
        <v>405</v>
      </c>
      <c r="C49" s="315" t="s">
        <v>404</v>
      </c>
      <c r="D49" s="316" t="s">
        <v>115</v>
      </c>
      <c r="E49" s="316" t="s">
        <v>2081</v>
      </c>
      <c r="F49" s="316" t="s">
        <v>1515</v>
      </c>
      <c r="G49" s="316" t="s">
        <v>2117</v>
      </c>
    </row>
    <row r="50" spans="1:7">
      <c r="A50" t="s">
        <v>2169</v>
      </c>
      <c r="B50" s="315" t="s">
        <v>407</v>
      </c>
      <c r="C50" s="315" t="s">
        <v>406</v>
      </c>
      <c r="D50" s="316" t="s">
        <v>115</v>
      </c>
      <c r="E50" s="316" t="s">
        <v>2077</v>
      </c>
      <c r="F50" s="316" t="s">
        <v>1515</v>
      </c>
      <c r="G50" s="316" t="s">
        <v>2117</v>
      </c>
    </row>
    <row r="51" spans="1:7">
      <c r="A51" t="s">
        <v>2170</v>
      </c>
      <c r="B51" s="315" t="s">
        <v>409</v>
      </c>
      <c r="C51" s="315" t="s">
        <v>408</v>
      </c>
      <c r="D51" s="316" t="s">
        <v>117</v>
      </c>
      <c r="E51" s="316" t="s">
        <v>119</v>
      </c>
      <c r="F51" s="316" t="s">
        <v>117</v>
      </c>
      <c r="G51" s="316" t="s">
        <v>2119</v>
      </c>
    </row>
    <row r="52" spans="1:7">
      <c r="A52" t="s">
        <v>2171</v>
      </c>
      <c r="B52" s="315" t="s">
        <v>413</v>
      </c>
      <c r="C52" s="315" t="s">
        <v>412</v>
      </c>
      <c r="D52" s="316" t="s">
        <v>116</v>
      </c>
      <c r="E52" s="316" t="s">
        <v>2076</v>
      </c>
      <c r="F52" s="316" t="s">
        <v>2093</v>
      </c>
      <c r="G52" s="316" t="s">
        <v>2114</v>
      </c>
    </row>
    <row r="53" spans="1:7">
      <c r="A53" t="s">
        <v>2172</v>
      </c>
      <c r="B53" s="315" t="s">
        <v>393</v>
      </c>
      <c r="C53" s="315" t="s">
        <v>2173</v>
      </c>
      <c r="D53" s="316" t="s">
        <v>119</v>
      </c>
      <c r="E53" s="316" t="s">
        <v>119</v>
      </c>
      <c r="F53" s="316" t="s">
        <v>119</v>
      </c>
      <c r="G53" s="316" t="s">
        <v>2112</v>
      </c>
    </row>
    <row r="54" spans="1:7">
      <c r="A54" t="s">
        <v>2174</v>
      </c>
      <c r="B54" s="315" t="s">
        <v>415</v>
      </c>
      <c r="C54" s="315" t="s">
        <v>414</v>
      </c>
      <c r="D54" s="316" t="s">
        <v>116</v>
      </c>
      <c r="E54" s="316" t="s">
        <v>2079</v>
      </c>
      <c r="F54" s="316" t="s">
        <v>2093</v>
      </c>
      <c r="G54" s="316" t="s">
        <v>2114</v>
      </c>
    </row>
    <row r="55" spans="1:7">
      <c r="A55" t="s">
        <v>2175</v>
      </c>
      <c r="B55" s="315" t="s">
        <v>417</v>
      </c>
      <c r="C55" s="315" t="s">
        <v>781</v>
      </c>
      <c r="D55" s="316" t="s">
        <v>117</v>
      </c>
      <c r="E55" s="316" t="s">
        <v>2082</v>
      </c>
      <c r="F55" s="316" t="s">
        <v>117</v>
      </c>
      <c r="G55" s="316" t="s">
        <v>2119</v>
      </c>
    </row>
    <row r="56" spans="1:7">
      <c r="A56" t="s">
        <v>2176</v>
      </c>
      <c r="B56" s="315" t="s">
        <v>419</v>
      </c>
      <c r="C56" s="315" t="s">
        <v>418</v>
      </c>
      <c r="D56" s="316" t="s">
        <v>116</v>
      </c>
      <c r="E56" s="316" t="s">
        <v>2076</v>
      </c>
      <c r="F56" s="316" t="s">
        <v>2093</v>
      </c>
      <c r="G56" s="316" t="s">
        <v>2114</v>
      </c>
    </row>
    <row r="57" spans="1:7">
      <c r="A57" t="s">
        <v>2177</v>
      </c>
      <c r="B57" s="315" t="s">
        <v>697</v>
      </c>
      <c r="C57" s="315" t="s">
        <v>696</v>
      </c>
      <c r="D57" s="316" t="s">
        <v>119</v>
      </c>
      <c r="E57" s="316" t="s">
        <v>119</v>
      </c>
      <c r="F57" s="316" t="s">
        <v>119</v>
      </c>
      <c r="G57" s="316" t="s">
        <v>2112</v>
      </c>
    </row>
    <row r="58" spans="1:7">
      <c r="A58" t="s">
        <v>2178</v>
      </c>
      <c r="B58" s="315" t="s">
        <v>423</v>
      </c>
      <c r="C58" s="315" t="s">
        <v>422</v>
      </c>
      <c r="D58" s="316" t="s">
        <v>115</v>
      </c>
      <c r="E58" s="316" t="s">
        <v>2077</v>
      </c>
      <c r="F58" s="316" t="s">
        <v>1515</v>
      </c>
      <c r="G58" s="316" t="s">
        <v>2117</v>
      </c>
    </row>
    <row r="59" spans="1:7">
      <c r="A59" t="s">
        <v>2179</v>
      </c>
      <c r="B59" s="315" t="s">
        <v>425</v>
      </c>
      <c r="C59" s="315" t="s">
        <v>424</v>
      </c>
      <c r="D59" s="316" t="s">
        <v>119</v>
      </c>
      <c r="E59" s="316" t="s">
        <v>119</v>
      </c>
      <c r="F59" s="316" t="s">
        <v>119</v>
      </c>
      <c r="G59" s="316" t="s">
        <v>2112</v>
      </c>
    </row>
    <row r="60" spans="1:7">
      <c r="A60" t="s">
        <v>2180</v>
      </c>
      <c r="B60" s="315" t="s">
        <v>427</v>
      </c>
      <c r="C60" s="315" t="s">
        <v>426</v>
      </c>
      <c r="D60" s="316" t="s">
        <v>114</v>
      </c>
      <c r="E60" s="316" t="s">
        <v>2085</v>
      </c>
      <c r="F60" s="316" t="s">
        <v>2085</v>
      </c>
      <c r="G60" s="316" t="s">
        <v>2114</v>
      </c>
    </row>
    <row r="61" spans="1:7">
      <c r="A61" t="s">
        <v>2181</v>
      </c>
      <c r="B61" s="315" t="s">
        <v>429</v>
      </c>
      <c r="C61" s="315" t="s">
        <v>428</v>
      </c>
      <c r="D61" s="316" t="s">
        <v>115</v>
      </c>
      <c r="E61" s="316" t="s">
        <v>2077</v>
      </c>
      <c r="F61" s="316" t="s">
        <v>1515</v>
      </c>
      <c r="G61" s="316" t="s">
        <v>2117</v>
      </c>
    </row>
    <row r="62" spans="1:7">
      <c r="A62" t="s">
        <v>1650</v>
      </c>
      <c r="B62" s="315" t="s">
        <v>56</v>
      </c>
      <c r="C62" s="315" t="s">
        <v>55</v>
      </c>
      <c r="D62" s="316" t="s">
        <v>115</v>
      </c>
      <c r="E62" s="316" t="s">
        <v>2078</v>
      </c>
      <c r="F62" s="316" t="s">
        <v>1515</v>
      </c>
      <c r="G62" s="316" t="s">
        <v>2117</v>
      </c>
    </row>
    <row r="63" spans="1:7">
      <c r="A63" t="s">
        <v>2182</v>
      </c>
      <c r="B63" s="315" t="s">
        <v>715</v>
      </c>
      <c r="C63" s="315" t="s">
        <v>714</v>
      </c>
      <c r="D63" s="316" t="s">
        <v>114</v>
      </c>
      <c r="E63" s="316" t="s">
        <v>2085</v>
      </c>
      <c r="F63" s="316" t="s">
        <v>2085</v>
      </c>
      <c r="G63" s="316" t="s">
        <v>2117</v>
      </c>
    </row>
    <row r="64" spans="1:7">
      <c r="A64" t="s">
        <v>2183</v>
      </c>
      <c r="B64" s="315" t="s">
        <v>431</v>
      </c>
      <c r="C64" s="315" t="s">
        <v>430</v>
      </c>
      <c r="D64" s="316" t="s">
        <v>119</v>
      </c>
      <c r="E64" s="316" t="s">
        <v>119</v>
      </c>
      <c r="F64" s="316" t="s">
        <v>119</v>
      </c>
      <c r="G64" s="316" t="s">
        <v>2114</v>
      </c>
    </row>
    <row r="65" spans="1:7">
      <c r="A65" t="s">
        <v>2184</v>
      </c>
      <c r="B65" s="315" t="s">
        <v>433</v>
      </c>
      <c r="C65" s="315" t="s">
        <v>2185</v>
      </c>
      <c r="D65" s="316" t="s">
        <v>119</v>
      </c>
      <c r="E65" s="316" t="s">
        <v>119</v>
      </c>
      <c r="F65" s="316" t="s">
        <v>119</v>
      </c>
      <c r="G65" s="316" t="s">
        <v>2112</v>
      </c>
    </row>
    <row r="66" spans="1:7">
      <c r="A66" t="s">
        <v>2186</v>
      </c>
      <c r="B66" s="315" t="s">
        <v>677</v>
      </c>
      <c r="C66" s="315" t="s">
        <v>2187</v>
      </c>
      <c r="D66" s="316" t="s">
        <v>117</v>
      </c>
      <c r="E66" s="316" t="s">
        <v>2082</v>
      </c>
      <c r="F66" s="316" t="s">
        <v>2094</v>
      </c>
      <c r="G66" s="316" t="s">
        <v>2119</v>
      </c>
    </row>
    <row r="67" spans="1:7">
      <c r="A67" t="s">
        <v>2188</v>
      </c>
      <c r="B67" s="315" t="s">
        <v>435</v>
      </c>
      <c r="C67" s="315" t="s">
        <v>434</v>
      </c>
      <c r="D67" s="316" t="s">
        <v>115</v>
      </c>
      <c r="E67" s="316" t="s">
        <v>2081</v>
      </c>
      <c r="F67" s="316" t="s">
        <v>2094</v>
      </c>
      <c r="G67" s="316" t="s">
        <v>2114</v>
      </c>
    </row>
    <row r="68" spans="1:7">
      <c r="A68" t="s">
        <v>2189</v>
      </c>
      <c r="B68" s="315" t="s">
        <v>437</v>
      </c>
      <c r="C68" s="315" t="s">
        <v>436</v>
      </c>
      <c r="D68" s="316" t="s">
        <v>115</v>
      </c>
      <c r="E68" s="316" t="s">
        <v>2078</v>
      </c>
      <c r="F68" s="316" t="s">
        <v>1515</v>
      </c>
      <c r="G68" s="316" t="s">
        <v>2117</v>
      </c>
    </row>
    <row r="69" spans="1:7">
      <c r="A69" t="s">
        <v>2190</v>
      </c>
      <c r="B69" s="315" t="s">
        <v>439</v>
      </c>
      <c r="C69" s="315" t="s">
        <v>438</v>
      </c>
      <c r="D69" s="316" t="s">
        <v>119</v>
      </c>
      <c r="E69" s="316" t="s">
        <v>119</v>
      </c>
      <c r="F69" s="316" t="s">
        <v>119</v>
      </c>
      <c r="G69" s="316" t="s">
        <v>2119</v>
      </c>
    </row>
    <row r="70" spans="1:7">
      <c r="A70" t="s">
        <v>2191</v>
      </c>
      <c r="B70" s="315" t="s">
        <v>441</v>
      </c>
      <c r="C70" s="315" t="s">
        <v>440</v>
      </c>
      <c r="D70" s="316" t="s">
        <v>115</v>
      </c>
      <c r="E70" s="316" t="s">
        <v>2080</v>
      </c>
      <c r="F70" s="316" t="s">
        <v>1515</v>
      </c>
      <c r="G70" s="316" t="s">
        <v>2117</v>
      </c>
    </row>
    <row r="71" spans="1:7">
      <c r="A71" t="s">
        <v>2192</v>
      </c>
      <c r="B71" s="315" t="s">
        <v>699</v>
      </c>
      <c r="C71" s="315" t="s">
        <v>698</v>
      </c>
      <c r="D71" s="316" t="s">
        <v>115</v>
      </c>
      <c r="E71" s="316" t="s">
        <v>2077</v>
      </c>
      <c r="F71" s="316" t="s">
        <v>1515</v>
      </c>
      <c r="G71" s="316" t="s">
        <v>2117</v>
      </c>
    </row>
    <row r="72" spans="1:7">
      <c r="A72" t="s">
        <v>2193</v>
      </c>
      <c r="B72" s="315" t="s">
        <v>445</v>
      </c>
      <c r="C72" s="315" t="s">
        <v>444</v>
      </c>
      <c r="D72" s="316" t="s">
        <v>116</v>
      </c>
      <c r="E72" s="316" t="s">
        <v>2076</v>
      </c>
      <c r="F72" s="316" t="s">
        <v>2093</v>
      </c>
      <c r="G72" s="316" t="s">
        <v>2114</v>
      </c>
    </row>
    <row r="73" spans="1:7">
      <c r="A73" t="s">
        <v>2194</v>
      </c>
      <c r="B73" s="315" t="s">
        <v>447</v>
      </c>
      <c r="C73" s="315" t="s">
        <v>446</v>
      </c>
      <c r="D73" s="316" t="s">
        <v>119</v>
      </c>
      <c r="E73" s="316" t="s">
        <v>119</v>
      </c>
      <c r="F73" s="316" t="s">
        <v>119</v>
      </c>
      <c r="G73" s="316" t="s">
        <v>2119</v>
      </c>
    </row>
    <row r="74" spans="1:7">
      <c r="A74" t="s">
        <v>2195</v>
      </c>
      <c r="B74" s="315" t="s">
        <v>451</v>
      </c>
      <c r="C74" s="315" t="s">
        <v>450</v>
      </c>
      <c r="D74" s="316" t="s">
        <v>116</v>
      </c>
      <c r="E74" s="316" t="s">
        <v>2079</v>
      </c>
      <c r="F74" s="316" t="s">
        <v>2093</v>
      </c>
      <c r="G74" s="316" t="s">
        <v>2117</v>
      </c>
    </row>
    <row r="75" spans="1:7">
      <c r="A75" t="s">
        <v>2196</v>
      </c>
      <c r="B75" s="315" t="s">
        <v>453</v>
      </c>
      <c r="C75" s="315" t="s">
        <v>452</v>
      </c>
      <c r="D75" s="316" t="s">
        <v>116</v>
      </c>
      <c r="E75" s="316" t="s">
        <v>2076</v>
      </c>
      <c r="F75" s="316" t="s">
        <v>2093</v>
      </c>
      <c r="G75" s="316" t="s">
        <v>2119</v>
      </c>
    </row>
    <row r="76" spans="1:7">
      <c r="A76" t="s">
        <v>2197</v>
      </c>
      <c r="B76" s="315" t="s">
        <v>455</v>
      </c>
      <c r="C76" s="315" t="s">
        <v>454</v>
      </c>
      <c r="D76" s="316" t="s">
        <v>116</v>
      </c>
      <c r="E76" s="316" t="s">
        <v>2076</v>
      </c>
      <c r="F76" s="316" t="s">
        <v>2093</v>
      </c>
      <c r="G76" s="316" t="s">
        <v>2119</v>
      </c>
    </row>
    <row r="77" spans="1:7">
      <c r="A77" t="s">
        <v>2198</v>
      </c>
      <c r="B77" s="315" t="s">
        <v>457</v>
      </c>
      <c r="C77" s="315" t="s">
        <v>1475</v>
      </c>
      <c r="D77" s="316" t="s">
        <v>114</v>
      </c>
      <c r="E77" s="316" t="s">
        <v>2084</v>
      </c>
      <c r="F77" s="316" t="s">
        <v>2094</v>
      </c>
      <c r="G77" s="316" t="s">
        <v>2117</v>
      </c>
    </row>
    <row r="78" spans="1:7">
      <c r="A78" t="s">
        <v>2199</v>
      </c>
      <c r="B78" s="315" t="s">
        <v>459</v>
      </c>
      <c r="C78" s="315" t="s">
        <v>458</v>
      </c>
      <c r="D78" s="316" t="s">
        <v>115</v>
      </c>
      <c r="E78" s="316" t="s">
        <v>2081</v>
      </c>
      <c r="F78" s="316" t="s">
        <v>1515</v>
      </c>
      <c r="G78" s="316" t="s">
        <v>2117</v>
      </c>
    </row>
    <row r="79" spans="1:7">
      <c r="A79" t="s">
        <v>2200</v>
      </c>
      <c r="B79" s="315" t="s">
        <v>461</v>
      </c>
      <c r="C79" s="315" t="s">
        <v>460</v>
      </c>
      <c r="D79" s="316" t="s">
        <v>115</v>
      </c>
      <c r="E79" s="316" t="s">
        <v>2077</v>
      </c>
      <c r="F79" s="316" t="s">
        <v>1515</v>
      </c>
      <c r="G79" s="316" t="s">
        <v>2117</v>
      </c>
    </row>
    <row r="80" spans="1:7">
      <c r="A80" t="s">
        <v>2201</v>
      </c>
      <c r="B80" s="315" t="s">
        <v>463</v>
      </c>
      <c r="C80" s="315" t="s">
        <v>462</v>
      </c>
      <c r="D80" s="316" t="s">
        <v>118</v>
      </c>
      <c r="E80" s="316" t="s">
        <v>2083</v>
      </c>
      <c r="F80" s="316" t="s">
        <v>462</v>
      </c>
      <c r="G80" s="316" t="s">
        <v>2119</v>
      </c>
    </row>
    <row r="81" spans="1:7">
      <c r="A81" t="s">
        <v>2202</v>
      </c>
      <c r="B81" s="315" t="s">
        <v>465</v>
      </c>
      <c r="C81" s="315" t="s">
        <v>464</v>
      </c>
      <c r="D81" s="316" t="s">
        <v>114</v>
      </c>
      <c r="E81" s="316" t="s">
        <v>2084</v>
      </c>
      <c r="F81" s="316" t="s">
        <v>2094</v>
      </c>
      <c r="G81" s="316" t="s">
        <v>2114</v>
      </c>
    </row>
    <row r="82" spans="1:7">
      <c r="A82" t="s">
        <v>2203</v>
      </c>
      <c r="B82" s="315" t="s">
        <v>467</v>
      </c>
      <c r="C82" s="315" t="s">
        <v>1012</v>
      </c>
      <c r="D82" s="316" t="s">
        <v>117</v>
      </c>
      <c r="E82" s="316" t="s">
        <v>2082</v>
      </c>
      <c r="F82" s="316" t="s">
        <v>2094</v>
      </c>
      <c r="G82" s="316" t="s">
        <v>2114</v>
      </c>
    </row>
    <row r="83" spans="1:7">
      <c r="A83" t="s">
        <v>2204</v>
      </c>
      <c r="B83" s="315" t="s">
        <v>469</v>
      </c>
      <c r="C83" s="315" t="s">
        <v>468</v>
      </c>
      <c r="D83" s="316" t="s">
        <v>117</v>
      </c>
      <c r="E83" s="316" t="s">
        <v>2082</v>
      </c>
      <c r="F83" s="316" t="s">
        <v>2094</v>
      </c>
      <c r="G83" s="316" t="s">
        <v>2114</v>
      </c>
    </row>
    <row r="84" spans="1:7">
      <c r="A84" t="s">
        <v>2205</v>
      </c>
      <c r="B84" s="315" t="s">
        <v>471</v>
      </c>
      <c r="C84" s="315" t="s">
        <v>470</v>
      </c>
      <c r="D84" s="316" t="s">
        <v>115</v>
      </c>
      <c r="E84" s="316" t="s">
        <v>2077</v>
      </c>
      <c r="F84" s="316" t="s">
        <v>1515</v>
      </c>
      <c r="G84" s="316" t="s">
        <v>2117</v>
      </c>
    </row>
    <row r="85" spans="1:7">
      <c r="A85" t="s">
        <v>2206</v>
      </c>
      <c r="B85" s="315" t="s">
        <v>473</v>
      </c>
      <c r="C85" s="315" t="s">
        <v>472</v>
      </c>
      <c r="D85" s="316" t="s">
        <v>117</v>
      </c>
      <c r="E85" s="316" t="s">
        <v>2082</v>
      </c>
      <c r="F85" s="316" t="s">
        <v>2094</v>
      </c>
      <c r="G85" s="316" t="s">
        <v>2117</v>
      </c>
    </row>
    <row r="86" spans="1:7">
      <c r="A86" t="s">
        <v>2207</v>
      </c>
      <c r="B86" s="315" t="s">
        <v>475</v>
      </c>
      <c r="C86" s="315" t="s">
        <v>474</v>
      </c>
      <c r="D86" s="316" t="s">
        <v>115</v>
      </c>
      <c r="E86" s="316" t="s">
        <v>2080</v>
      </c>
      <c r="F86" s="316" t="s">
        <v>1515</v>
      </c>
      <c r="G86" s="316" t="s">
        <v>2117</v>
      </c>
    </row>
    <row r="87" spans="1:7">
      <c r="A87" t="s">
        <v>2208</v>
      </c>
      <c r="B87" s="315" t="s">
        <v>477</v>
      </c>
      <c r="C87" s="315" t="s">
        <v>476</v>
      </c>
      <c r="D87" s="316" t="s">
        <v>116</v>
      </c>
      <c r="E87" s="316" t="s">
        <v>2076</v>
      </c>
      <c r="F87" s="316" t="s">
        <v>2093</v>
      </c>
      <c r="G87" s="316" t="s">
        <v>2114</v>
      </c>
    </row>
    <row r="88" spans="1:7">
      <c r="A88" t="s">
        <v>2209</v>
      </c>
      <c r="B88" s="315" t="s">
        <v>479</v>
      </c>
      <c r="C88" s="315" t="s">
        <v>478</v>
      </c>
      <c r="D88" s="316" t="s">
        <v>114</v>
      </c>
      <c r="E88" s="316" t="s">
        <v>2084</v>
      </c>
      <c r="F88" s="316" t="s">
        <v>2094</v>
      </c>
      <c r="G88" s="316" t="s">
        <v>2117</v>
      </c>
    </row>
    <row r="89" spans="1:7">
      <c r="A89" t="s">
        <v>2210</v>
      </c>
      <c r="B89" s="315" t="s">
        <v>481</v>
      </c>
      <c r="C89" s="315" t="s">
        <v>480</v>
      </c>
      <c r="D89" s="316" t="s">
        <v>117</v>
      </c>
      <c r="E89" s="316" t="s">
        <v>2082</v>
      </c>
      <c r="F89" s="316" t="s">
        <v>2094</v>
      </c>
      <c r="G89" s="316" t="s">
        <v>2119</v>
      </c>
    </row>
    <row r="90" spans="1:7">
      <c r="A90" t="s">
        <v>2211</v>
      </c>
      <c r="B90" s="315" t="s">
        <v>483</v>
      </c>
      <c r="C90" s="315" t="s">
        <v>482</v>
      </c>
      <c r="D90" s="316" t="s">
        <v>115</v>
      </c>
      <c r="E90" s="316" t="s">
        <v>2083</v>
      </c>
      <c r="F90" s="316" t="s">
        <v>2094</v>
      </c>
      <c r="G90" s="316" t="s">
        <v>2114</v>
      </c>
    </row>
    <row r="91" spans="1:7">
      <c r="A91" t="s">
        <v>2212</v>
      </c>
      <c r="B91" s="315" t="s">
        <v>485</v>
      </c>
      <c r="C91" s="315" t="s">
        <v>484</v>
      </c>
      <c r="D91" s="316" t="s">
        <v>119</v>
      </c>
      <c r="E91" s="316" t="s">
        <v>119</v>
      </c>
      <c r="F91" s="316" t="s">
        <v>119</v>
      </c>
      <c r="G91" s="316" t="s">
        <v>2119</v>
      </c>
    </row>
    <row r="92" spans="1:7">
      <c r="A92" t="s">
        <v>2213</v>
      </c>
      <c r="B92" s="315" t="s">
        <v>701</v>
      </c>
      <c r="C92" s="315" t="s">
        <v>700</v>
      </c>
      <c r="D92" s="316" t="s">
        <v>117</v>
      </c>
      <c r="E92" s="316" t="s">
        <v>2082</v>
      </c>
      <c r="F92" s="316" t="s">
        <v>2094</v>
      </c>
      <c r="G92" s="316" t="s">
        <v>2117</v>
      </c>
    </row>
    <row r="93" spans="1:7">
      <c r="A93" t="s">
        <v>2214</v>
      </c>
      <c r="B93" s="315" t="s">
        <v>491</v>
      </c>
      <c r="C93" s="315" t="s">
        <v>965</v>
      </c>
      <c r="D93" s="316" t="s">
        <v>115</v>
      </c>
      <c r="E93" s="316" t="s">
        <v>2083</v>
      </c>
      <c r="F93" s="316" t="s">
        <v>2094</v>
      </c>
      <c r="G93" s="316" t="s">
        <v>2119</v>
      </c>
    </row>
    <row r="94" spans="1:7">
      <c r="A94" t="s">
        <v>2215</v>
      </c>
      <c r="B94" s="315" t="s">
        <v>493</v>
      </c>
      <c r="C94" s="315" t="s">
        <v>2216</v>
      </c>
      <c r="D94" s="316" t="s">
        <v>114</v>
      </c>
      <c r="E94" s="316" t="s">
        <v>2084</v>
      </c>
      <c r="F94" s="316" t="s">
        <v>2094</v>
      </c>
      <c r="G94" s="316" t="s">
        <v>2119</v>
      </c>
    </row>
    <row r="95" spans="1:7">
      <c r="A95" t="s">
        <v>2217</v>
      </c>
      <c r="B95" s="315" t="s">
        <v>495</v>
      </c>
      <c r="C95" s="315" t="s">
        <v>494</v>
      </c>
      <c r="D95" s="316" t="s">
        <v>115</v>
      </c>
      <c r="E95" s="316" t="s">
        <v>2077</v>
      </c>
      <c r="F95" s="316" t="s">
        <v>1515</v>
      </c>
      <c r="G95" s="316" t="s">
        <v>2117</v>
      </c>
    </row>
    <row r="96" spans="1:7">
      <c r="A96" t="s">
        <v>2218</v>
      </c>
      <c r="B96" s="315" t="s">
        <v>497</v>
      </c>
      <c r="C96" s="315" t="s">
        <v>496</v>
      </c>
      <c r="D96" s="316" t="s">
        <v>117</v>
      </c>
      <c r="E96" s="316" t="s">
        <v>2082</v>
      </c>
      <c r="F96" s="316" t="s">
        <v>2094</v>
      </c>
      <c r="G96" s="316" t="s">
        <v>2119</v>
      </c>
    </row>
    <row r="97" spans="1:7">
      <c r="A97" t="s">
        <v>2219</v>
      </c>
      <c r="B97" s="315" t="s">
        <v>499</v>
      </c>
      <c r="C97" s="315" t="s">
        <v>498</v>
      </c>
      <c r="D97" s="316" t="s">
        <v>119</v>
      </c>
      <c r="E97" s="316" t="s">
        <v>119</v>
      </c>
      <c r="F97" s="316" t="s">
        <v>119</v>
      </c>
      <c r="G97" s="316" t="s">
        <v>2119</v>
      </c>
    </row>
    <row r="98" spans="1:7">
      <c r="A98" t="s">
        <v>2220</v>
      </c>
      <c r="B98" s="315" t="s">
        <v>501</v>
      </c>
      <c r="C98" s="315" t="s">
        <v>500</v>
      </c>
      <c r="D98" s="316" t="s">
        <v>119</v>
      </c>
      <c r="E98" s="316" t="s">
        <v>119</v>
      </c>
      <c r="F98" s="316" t="s">
        <v>119</v>
      </c>
      <c r="G98" s="316" t="s">
        <v>2112</v>
      </c>
    </row>
    <row r="99" spans="1:7">
      <c r="A99" t="s">
        <v>2221</v>
      </c>
      <c r="B99" s="315" t="s">
        <v>703</v>
      </c>
      <c r="C99" s="315" t="s">
        <v>702</v>
      </c>
      <c r="D99" s="316" t="s">
        <v>117</v>
      </c>
      <c r="E99" s="316" t="s">
        <v>2082</v>
      </c>
      <c r="F99" s="316" t="s">
        <v>117</v>
      </c>
      <c r="G99" s="316" t="s">
        <v>2114</v>
      </c>
    </row>
    <row r="100" spans="1:7">
      <c r="A100" t="s">
        <v>2222</v>
      </c>
      <c r="B100" s="315" t="s">
        <v>705</v>
      </c>
      <c r="C100" s="315" t="s">
        <v>704</v>
      </c>
      <c r="D100" s="316" t="s">
        <v>115</v>
      </c>
      <c r="E100" s="316" t="s">
        <v>2078</v>
      </c>
      <c r="F100" s="316" t="s">
        <v>1515</v>
      </c>
      <c r="G100" s="316" t="s">
        <v>2117</v>
      </c>
    </row>
    <row r="101" spans="1:7">
      <c r="A101" t="s">
        <v>2223</v>
      </c>
      <c r="B101" s="315" t="s">
        <v>503</v>
      </c>
      <c r="C101" s="315" t="s">
        <v>502</v>
      </c>
      <c r="D101" s="316" t="s">
        <v>115</v>
      </c>
      <c r="E101" s="316" t="s">
        <v>2077</v>
      </c>
      <c r="F101" s="316" t="s">
        <v>1515</v>
      </c>
      <c r="G101" s="316" t="s">
        <v>2117</v>
      </c>
    </row>
    <row r="102" spans="1:7">
      <c r="A102" t="s">
        <v>2224</v>
      </c>
      <c r="B102" s="315" t="s">
        <v>505</v>
      </c>
      <c r="C102" s="315" t="s">
        <v>504</v>
      </c>
      <c r="D102" s="316" t="s">
        <v>115</v>
      </c>
      <c r="E102" s="316" t="s">
        <v>2078</v>
      </c>
      <c r="F102" s="316" t="s">
        <v>1515</v>
      </c>
      <c r="G102" s="316" t="s">
        <v>2117</v>
      </c>
    </row>
    <row r="103" spans="1:7">
      <c r="A103" t="s">
        <v>2225</v>
      </c>
      <c r="B103" s="315" t="s">
        <v>507</v>
      </c>
      <c r="C103" s="315" t="s">
        <v>2226</v>
      </c>
      <c r="D103" s="316" t="s">
        <v>114</v>
      </c>
      <c r="E103" s="316" t="s">
        <v>2084</v>
      </c>
      <c r="F103" s="316" t="s">
        <v>2094</v>
      </c>
      <c r="G103" s="316" t="s">
        <v>2117</v>
      </c>
    </row>
    <row r="104" spans="1:7">
      <c r="A104" t="s">
        <v>2227</v>
      </c>
      <c r="B104" s="315" t="s">
        <v>511</v>
      </c>
      <c r="C104" s="315" t="s">
        <v>510</v>
      </c>
      <c r="D104" s="316" t="s">
        <v>119</v>
      </c>
      <c r="E104" s="316" t="s">
        <v>119</v>
      </c>
      <c r="F104" s="316" t="s">
        <v>119</v>
      </c>
      <c r="G104" s="316" t="s">
        <v>2112</v>
      </c>
    </row>
    <row r="105" spans="1:7">
      <c r="A105" t="s">
        <v>2228</v>
      </c>
      <c r="B105" s="315" t="s">
        <v>513</v>
      </c>
      <c r="C105" s="315" t="s">
        <v>512</v>
      </c>
      <c r="D105" s="316" t="s">
        <v>119</v>
      </c>
      <c r="E105" s="316" t="s">
        <v>119</v>
      </c>
      <c r="F105" s="316" t="s">
        <v>119</v>
      </c>
      <c r="G105" s="316" t="s">
        <v>2112</v>
      </c>
    </row>
    <row r="106" spans="1:7">
      <c r="A106" t="s">
        <v>2229</v>
      </c>
      <c r="B106" s="315" t="s">
        <v>515</v>
      </c>
      <c r="C106" s="315" t="s">
        <v>514</v>
      </c>
      <c r="D106" s="316" t="s">
        <v>114</v>
      </c>
      <c r="E106" s="316" t="s">
        <v>2084</v>
      </c>
      <c r="F106" s="316" t="s">
        <v>2094</v>
      </c>
      <c r="G106" s="316" t="s">
        <v>2114</v>
      </c>
    </row>
    <row r="107" spans="1:7">
      <c r="A107" t="s">
        <v>2230</v>
      </c>
      <c r="B107" s="315" t="s">
        <v>517</v>
      </c>
      <c r="C107" s="315" t="s">
        <v>516</v>
      </c>
      <c r="D107" s="316" t="s">
        <v>118</v>
      </c>
      <c r="E107" s="316" t="s">
        <v>2083</v>
      </c>
      <c r="F107" s="316" t="s">
        <v>2094</v>
      </c>
      <c r="G107" s="316" t="s">
        <v>2114</v>
      </c>
    </row>
    <row r="108" spans="1:7">
      <c r="A108" t="s">
        <v>2231</v>
      </c>
      <c r="B108" s="315" t="s">
        <v>519</v>
      </c>
      <c r="C108" s="315" t="s">
        <v>518</v>
      </c>
      <c r="D108" s="316" t="s">
        <v>119</v>
      </c>
      <c r="E108" s="316" t="s">
        <v>119</v>
      </c>
      <c r="F108" s="316" t="s">
        <v>119</v>
      </c>
      <c r="G108" s="316" t="s">
        <v>2112</v>
      </c>
    </row>
    <row r="109" spans="1:7">
      <c r="A109" t="s">
        <v>2232</v>
      </c>
      <c r="B109" s="315" t="s">
        <v>521</v>
      </c>
      <c r="C109" s="315" t="s">
        <v>520</v>
      </c>
      <c r="D109" s="316" t="s">
        <v>115</v>
      </c>
      <c r="E109" s="316" t="s">
        <v>2080</v>
      </c>
      <c r="F109" s="316" t="s">
        <v>1515</v>
      </c>
      <c r="G109" s="316" t="s">
        <v>2117</v>
      </c>
    </row>
    <row r="110" spans="1:7">
      <c r="A110" t="s">
        <v>2233</v>
      </c>
      <c r="B110" s="315" t="s">
        <v>523</v>
      </c>
      <c r="C110" s="315" t="s">
        <v>522</v>
      </c>
      <c r="D110" s="316" t="s">
        <v>119</v>
      </c>
      <c r="E110" s="316" t="s">
        <v>119</v>
      </c>
      <c r="F110" s="316" t="s">
        <v>117</v>
      </c>
      <c r="G110" s="316" t="s">
        <v>2119</v>
      </c>
    </row>
    <row r="111" spans="1:7">
      <c r="A111" t="s">
        <v>2234</v>
      </c>
      <c r="B111" s="315" t="s">
        <v>525</v>
      </c>
      <c r="C111" s="315" t="s">
        <v>524</v>
      </c>
      <c r="D111" s="316" t="s">
        <v>119</v>
      </c>
      <c r="E111" s="316" t="s">
        <v>119</v>
      </c>
      <c r="F111" s="316" t="s">
        <v>119</v>
      </c>
      <c r="G111" s="316" t="s">
        <v>2114</v>
      </c>
    </row>
    <row r="112" spans="1:7">
      <c r="A112" t="s">
        <v>2235</v>
      </c>
      <c r="B112" s="315" t="s">
        <v>527</v>
      </c>
      <c r="C112" s="315" t="s">
        <v>526</v>
      </c>
      <c r="D112" s="316" t="s">
        <v>116</v>
      </c>
      <c r="E112" s="316" t="s">
        <v>2076</v>
      </c>
      <c r="F112" s="316" t="s">
        <v>2093</v>
      </c>
      <c r="G112" s="316" t="s">
        <v>2114</v>
      </c>
    </row>
    <row r="113" spans="1:7">
      <c r="A113" t="s">
        <v>2236</v>
      </c>
      <c r="B113" s="315" t="s">
        <v>531</v>
      </c>
      <c r="C113" s="315" t="s">
        <v>530</v>
      </c>
      <c r="D113" s="316" t="s">
        <v>115</v>
      </c>
      <c r="E113" s="316" t="s">
        <v>2081</v>
      </c>
      <c r="F113" s="316" t="s">
        <v>1515</v>
      </c>
      <c r="G113" s="316" t="s">
        <v>2114</v>
      </c>
    </row>
    <row r="114" spans="1:7">
      <c r="A114" t="s">
        <v>2237</v>
      </c>
      <c r="B114" s="315" t="s">
        <v>707</v>
      </c>
      <c r="C114" s="315" t="s">
        <v>706</v>
      </c>
      <c r="D114" s="316" t="s">
        <v>115</v>
      </c>
      <c r="E114" s="316" t="s">
        <v>2078</v>
      </c>
      <c r="F114" s="316" t="s">
        <v>1515</v>
      </c>
      <c r="G114" s="316" t="s">
        <v>2117</v>
      </c>
    </row>
    <row r="115" spans="1:7">
      <c r="A115" t="s">
        <v>2238</v>
      </c>
      <c r="B115" s="315" t="s">
        <v>533</v>
      </c>
      <c r="C115" s="315" t="s">
        <v>532</v>
      </c>
      <c r="D115" s="316" t="s">
        <v>114</v>
      </c>
      <c r="E115" s="316" t="s">
        <v>2084</v>
      </c>
      <c r="F115" s="316" t="s">
        <v>2094</v>
      </c>
      <c r="G115" s="316" t="s">
        <v>2114</v>
      </c>
    </row>
    <row r="116" spans="1:7">
      <c r="A116" t="s">
        <v>2239</v>
      </c>
      <c r="B116" s="315" t="s">
        <v>535</v>
      </c>
      <c r="C116" s="315" t="s">
        <v>534</v>
      </c>
      <c r="D116" s="316" t="s">
        <v>115</v>
      </c>
      <c r="E116" s="316" t="s">
        <v>2080</v>
      </c>
      <c r="F116" s="316" t="s">
        <v>1515</v>
      </c>
      <c r="G116" s="316" t="s">
        <v>2114</v>
      </c>
    </row>
    <row r="117" spans="1:7">
      <c r="A117" t="s">
        <v>2240</v>
      </c>
      <c r="B117" s="315" t="s">
        <v>537</v>
      </c>
      <c r="C117" s="315" t="s">
        <v>536</v>
      </c>
      <c r="D117" s="316" t="s">
        <v>117</v>
      </c>
      <c r="E117" s="316" t="s">
        <v>2082</v>
      </c>
      <c r="F117" s="316" t="s">
        <v>117</v>
      </c>
      <c r="G117" s="316" t="s">
        <v>2119</v>
      </c>
    </row>
    <row r="118" spans="1:7">
      <c r="A118" t="s">
        <v>2241</v>
      </c>
      <c r="B118" s="315" t="s">
        <v>539</v>
      </c>
      <c r="C118" s="315" t="s">
        <v>538</v>
      </c>
      <c r="D118" s="316" t="s">
        <v>119</v>
      </c>
      <c r="E118" s="316" t="s">
        <v>119</v>
      </c>
      <c r="F118" s="316" t="s">
        <v>119</v>
      </c>
      <c r="G118" s="316" t="s">
        <v>2112</v>
      </c>
    </row>
    <row r="119" spans="1:7">
      <c r="A119" t="s">
        <v>2242</v>
      </c>
      <c r="B119" s="315" t="s">
        <v>541</v>
      </c>
      <c r="C119" s="315" t="s">
        <v>540</v>
      </c>
      <c r="D119" s="316" t="s">
        <v>114</v>
      </c>
      <c r="E119" s="316" t="s">
        <v>2084</v>
      </c>
      <c r="F119" s="316" t="s">
        <v>2094</v>
      </c>
      <c r="G119" s="316" t="s">
        <v>2119</v>
      </c>
    </row>
    <row r="120" spans="1:7">
      <c r="A120" t="s">
        <v>1672</v>
      </c>
      <c r="B120" s="315" t="s">
        <v>543</v>
      </c>
      <c r="C120" s="315" t="s">
        <v>542</v>
      </c>
      <c r="D120" s="316" t="s">
        <v>119</v>
      </c>
      <c r="E120" s="316" t="s">
        <v>119</v>
      </c>
      <c r="F120" s="316" t="s">
        <v>119</v>
      </c>
      <c r="G120" s="316" t="s">
        <v>2119</v>
      </c>
    </row>
    <row r="121" spans="1:7">
      <c r="A121" t="s">
        <v>2243</v>
      </c>
      <c r="B121" s="315" t="s">
        <v>545</v>
      </c>
      <c r="C121" s="315" t="s">
        <v>544</v>
      </c>
      <c r="D121" s="316" t="s">
        <v>118</v>
      </c>
      <c r="E121" s="316" t="s">
        <v>2083</v>
      </c>
      <c r="F121" s="316" t="s">
        <v>2094</v>
      </c>
      <c r="G121" s="316" t="s">
        <v>2119</v>
      </c>
    </row>
    <row r="122" spans="1:7">
      <c r="A122" t="s">
        <v>2244</v>
      </c>
      <c r="B122" s="315" t="s">
        <v>547</v>
      </c>
      <c r="C122" s="315" t="s">
        <v>546</v>
      </c>
      <c r="D122" s="316" t="s">
        <v>115</v>
      </c>
      <c r="E122" s="316" t="s">
        <v>2078</v>
      </c>
      <c r="F122" s="316" t="s">
        <v>1515</v>
      </c>
      <c r="G122" s="316" t="s">
        <v>2117</v>
      </c>
    </row>
    <row r="123" spans="1:7">
      <c r="A123" t="s">
        <v>2245</v>
      </c>
      <c r="B123" s="315" t="s">
        <v>709</v>
      </c>
      <c r="C123" s="315" t="s">
        <v>708</v>
      </c>
      <c r="D123" s="316" t="s">
        <v>114</v>
      </c>
      <c r="E123" s="316" t="s">
        <v>2085</v>
      </c>
      <c r="F123" s="316" t="s">
        <v>2085</v>
      </c>
      <c r="G123" s="316" t="s">
        <v>2117</v>
      </c>
    </row>
    <row r="124" spans="1:7">
      <c r="A124" t="s">
        <v>2246</v>
      </c>
      <c r="B124" s="315" t="s">
        <v>549</v>
      </c>
      <c r="C124" s="315" t="s">
        <v>548</v>
      </c>
      <c r="D124" s="316" t="s">
        <v>114</v>
      </c>
      <c r="E124" s="316" t="s">
        <v>2086</v>
      </c>
      <c r="F124" s="316" t="s">
        <v>2085</v>
      </c>
      <c r="G124" s="316" t="s">
        <v>2117</v>
      </c>
    </row>
    <row r="125" spans="1:7">
      <c r="A125" t="s">
        <v>2247</v>
      </c>
      <c r="B125" s="315" t="s">
        <v>551</v>
      </c>
      <c r="C125" s="315" t="s">
        <v>550</v>
      </c>
      <c r="D125" s="316" t="s">
        <v>116</v>
      </c>
      <c r="E125" s="316" t="s">
        <v>2076</v>
      </c>
      <c r="F125" s="316" t="s">
        <v>2093</v>
      </c>
      <c r="G125" s="316" t="s">
        <v>2119</v>
      </c>
    </row>
    <row r="126" spans="1:7">
      <c r="A126" t="s">
        <v>2248</v>
      </c>
      <c r="B126" s="315" t="s">
        <v>553</v>
      </c>
      <c r="C126" s="315" t="s">
        <v>552</v>
      </c>
      <c r="D126" s="316" t="s">
        <v>119</v>
      </c>
      <c r="E126" s="316" t="s">
        <v>119</v>
      </c>
      <c r="F126" s="316" t="s">
        <v>119</v>
      </c>
      <c r="G126" s="316" t="s">
        <v>2112</v>
      </c>
    </row>
    <row r="127" spans="1:7">
      <c r="A127" t="s">
        <v>2249</v>
      </c>
      <c r="B127" s="315" t="s">
        <v>555</v>
      </c>
      <c r="C127" s="315" t="s">
        <v>554</v>
      </c>
      <c r="D127" s="316" t="s">
        <v>119</v>
      </c>
      <c r="E127" s="316" t="s">
        <v>119</v>
      </c>
      <c r="F127" s="316" t="s">
        <v>119</v>
      </c>
      <c r="G127" s="316" t="s">
        <v>2119</v>
      </c>
    </row>
    <row r="128" spans="1:7">
      <c r="A128" t="s">
        <v>2250</v>
      </c>
      <c r="B128" s="315" t="s">
        <v>713</v>
      </c>
      <c r="C128" s="315" t="s">
        <v>712</v>
      </c>
      <c r="D128" s="316" t="s">
        <v>114</v>
      </c>
      <c r="E128" s="316" t="s">
        <v>2084</v>
      </c>
      <c r="F128" s="316" t="s">
        <v>2094</v>
      </c>
      <c r="G128" s="316" t="s">
        <v>2112</v>
      </c>
    </row>
    <row r="129" spans="1:7">
      <c r="A129" t="s">
        <v>2251</v>
      </c>
      <c r="B129" s="315" t="s">
        <v>557</v>
      </c>
      <c r="C129" s="315" t="s">
        <v>556</v>
      </c>
      <c r="D129" s="316" t="s">
        <v>115</v>
      </c>
      <c r="E129" s="316" t="s">
        <v>2077</v>
      </c>
      <c r="F129" s="316" t="s">
        <v>1515</v>
      </c>
      <c r="G129" s="316" t="s">
        <v>2117</v>
      </c>
    </row>
    <row r="130" spans="1:7">
      <c r="A130" t="s">
        <v>2252</v>
      </c>
      <c r="B130" s="315" t="s">
        <v>711</v>
      </c>
      <c r="C130" s="315" t="s">
        <v>710</v>
      </c>
      <c r="D130" s="316" t="s">
        <v>117</v>
      </c>
      <c r="E130" s="316" t="s">
        <v>2082</v>
      </c>
      <c r="F130" s="316" t="s">
        <v>2094</v>
      </c>
      <c r="G130" s="316" t="s">
        <v>2117</v>
      </c>
    </row>
    <row r="131" spans="1:7">
      <c r="A131" t="s">
        <v>2253</v>
      </c>
      <c r="B131" s="315" t="s">
        <v>559</v>
      </c>
      <c r="C131" s="315" t="s">
        <v>558</v>
      </c>
      <c r="D131" s="316" t="s">
        <v>118</v>
      </c>
      <c r="E131" s="316" t="s">
        <v>2083</v>
      </c>
      <c r="F131" s="316" t="s">
        <v>2094</v>
      </c>
      <c r="G131" s="316" t="s">
        <v>2119</v>
      </c>
    </row>
    <row r="132" spans="1:7">
      <c r="A132" t="s">
        <v>2254</v>
      </c>
      <c r="B132" s="315" t="s">
        <v>563</v>
      </c>
      <c r="C132" s="315" t="s">
        <v>562</v>
      </c>
      <c r="D132" s="316" t="s">
        <v>116</v>
      </c>
      <c r="E132" s="316" t="s">
        <v>2076</v>
      </c>
      <c r="F132" s="316" t="s">
        <v>2093</v>
      </c>
      <c r="G132" s="316" t="s">
        <v>2117</v>
      </c>
    </row>
    <row r="133" spans="1:7">
      <c r="A133" t="s">
        <v>2255</v>
      </c>
      <c r="B133" s="315" t="s">
        <v>565</v>
      </c>
      <c r="C133" s="315" t="s">
        <v>564</v>
      </c>
      <c r="D133" s="316" t="s">
        <v>114</v>
      </c>
      <c r="E133" s="316" t="s">
        <v>2085</v>
      </c>
      <c r="F133" s="316" t="s">
        <v>2085</v>
      </c>
      <c r="G133" s="316" t="s">
        <v>2119</v>
      </c>
    </row>
    <row r="134" spans="1:7">
      <c r="A134" t="s">
        <v>2256</v>
      </c>
      <c r="B134" s="315" t="s">
        <v>567</v>
      </c>
      <c r="C134" s="315" t="s">
        <v>566</v>
      </c>
      <c r="D134" s="316" t="s">
        <v>116</v>
      </c>
      <c r="E134" s="316" t="s">
        <v>2079</v>
      </c>
      <c r="F134" s="316" t="s">
        <v>2093</v>
      </c>
      <c r="G134" s="316" t="s">
        <v>2114</v>
      </c>
    </row>
    <row r="135" spans="1:7">
      <c r="A135" t="s">
        <v>2257</v>
      </c>
      <c r="B135" s="315" t="s">
        <v>569</v>
      </c>
      <c r="C135" s="315" t="s">
        <v>568</v>
      </c>
      <c r="D135" s="316" t="s">
        <v>116</v>
      </c>
      <c r="E135" s="316" t="s">
        <v>2079</v>
      </c>
      <c r="F135" s="316" t="s">
        <v>2093</v>
      </c>
      <c r="G135" s="316" t="s">
        <v>2114</v>
      </c>
    </row>
    <row r="136" spans="1:7">
      <c r="A136" t="s">
        <v>2258</v>
      </c>
      <c r="B136" s="315" t="s">
        <v>571</v>
      </c>
      <c r="C136" s="315" t="s">
        <v>570</v>
      </c>
      <c r="D136" s="316" t="s">
        <v>114</v>
      </c>
      <c r="E136" s="316" t="s">
        <v>2084</v>
      </c>
      <c r="F136" s="316" t="s">
        <v>2094</v>
      </c>
      <c r="G136" s="316" t="s">
        <v>2119</v>
      </c>
    </row>
    <row r="137" spans="1:7">
      <c r="A137" t="s">
        <v>2259</v>
      </c>
      <c r="B137" s="315" t="s">
        <v>573</v>
      </c>
      <c r="C137" s="315" t="s">
        <v>572</v>
      </c>
      <c r="D137" s="316" t="s">
        <v>115</v>
      </c>
      <c r="E137" s="316" t="s">
        <v>2081</v>
      </c>
      <c r="F137" s="316" t="s">
        <v>1515</v>
      </c>
      <c r="G137" s="316" t="s">
        <v>2117</v>
      </c>
    </row>
    <row r="138" spans="1:7">
      <c r="A138" t="s">
        <v>2260</v>
      </c>
      <c r="B138" s="315" t="s">
        <v>575</v>
      </c>
      <c r="C138" s="315" t="s">
        <v>574</v>
      </c>
      <c r="D138" s="316" t="s">
        <v>115</v>
      </c>
      <c r="E138" s="316" t="s">
        <v>2080</v>
      </c>
      <c r="F138" s="316" t="s">
        <v>1515</v>
      </c>
      <c r="G138" s="316" t="s">
        <v>2117</v>
      </c>
    </row>
    <row r="139" spans="1:7">
      <c r="A139" t="s">
        <v>2261</v>
      </c>
      <c r="B139" s="315" t="s">
        <v>579</v>
      </c>
      <c r="C139" s="315" t="s">
        <v>578</v>
      </c>
      <c r="D139" s="316" t="s">
        <v>117</v>
      </c>
      <c r="E139" s="316" t="s">
        <v>2082</v>
      </c>
      <c r="F139" s="316" t="s">
        <v>2094</v>
      </c>
      <c r="G139" s="316" t="s">
        <v>2117</v>
      </c>
    </row>
    <row r="140" spans="1:7">
      <c r="A140" t="s">
        <v>2262</v>
      </c>
      <c r="B140" s="315" t="s">
        <v>581</v>
      </c>
      <c r="C140" s="315" t="s">
        <v>580</v>
      </c>
      <c r="D140" s="316" t="s">
        <v>115</v>
      </c>
      <c r="E140" s="316" t="s">
        <v>2081</v>
      </c>
      <c r="F140" s="316" t="s">
        <v>1515</v>
      </c>
      <c r="G140" s="316" t="s">
        <v>2117</v>
      </c>
    </row>
    <row r="141" spans="1:7">
      <c r="A141" t="s">
        <v>2263</v>
      </c>
      <c r="B141" s="315" t="s">
        <v>583</v>
      </c>
      <c r="C141" s="315" t="s">
        <v>831</v>
      </c>
      <c r="D141" s="316" t="s">
        <v>115</v>
      </c>
      <c r="E141" s="316" t="s">
        <v>2081</v>
      </c>
      <c r="F141" s="316" t="s">
        <v>1515</v>
      </c>
      <c r="G141" s="316" t="s">
        <v>2117</v>
      </c>
    </row>
    <row r="142" spans="1:7">
      <c r="A142" t="s">
        <v>2264</v>
      </c>
      <c r="B142" s="315" t="s">
        <v>585</v>
      </c>
      <c r="C142" s="315" t="s">
        <v>584</v>
      </c>
      <c r="D142" s="316" t="s">
        <v>119</v>
      </c>
      <c r="E142" s="316" t="s">
        <v>119</v>
      </c>
      <c r="F142" s="316" t="s">
        <v>119</v>
      </c>
      <c r="G142" s="316" t="s">
        <v>2112</v>
      </c>
    </row>
    <row r="143" spans="1:7">
      <c r="A143" t="s">
        <v>2265</v>
      </c>
      <c r="B143" s="315" t="s">
        <v>587</v>
      </c>
      <c r="C143" s="315" t="s">
        <v>586</v>
      </c>
      <c r="D143" s="316" t="s">
        <v>114</v>
      </c>
      <c r="E143" s="316" t="s">
        <v>2085</v>
      </c>
      <c r="F143" s="316" t="s">
        <v>2085</v>
      </c>
      <c r="G143" s="316" t="s">
        <v>2114</v>
      </c>
    </row>
    <row r="144" spans="1:7">
      <c r="A144" t="s">
        <v>2266</v>
      </c>
      <c r="B144" s="315" t="s">
        <v>719</v>
      </c>
      <c r="C144" s="315" t="s">
        <v>718</v>
      </c>
      <c r="D144" s="316" t="s">
        <v>115</v>
      </c>
      <c r="E144" s="316" t="s">
        <v>2080</v>
      </c>
      <c r="F144" s="316" t="s">
        <v>1515</v>
      </c>
      <c r="G144" s="316" t="s">
        <v>2117</v>
      </c>
    </row>
    <row r="145" spans="1:7">
      <c r="A145" t="s">
        <v>2267</v>
      </c>
      <c r="B145" s="315" t="s">
        <v>589</v>
      </c>
      <c r="C145" s="315" t="s">
        <v>588</v>
      </c>
      <c r="D145" s="316" t="s">
        <v>119</v>
      </c>
      <c r="E145" s="316" t="s">
        <v>119</v>
      </c>
      <c r="F145" s="316" t="s">
        <v>119</v>
      </c>
      <c r="G145" s="316" t="s">
        <v>2119</v>
      </c>
    </row>
    <row r="146" spans="1:7">
      <c r="A146" t="s">
        <v>2268</v>
      </c>
      <c r="B146" s="315" t="s">
        <v>591</v>
      </c>
      <c r="C146" s="315" t="s">
        <v>590</v>
      </c>
      <c r="D146" s="316" t="s">
        <v>117</v>
      </c>
      <c r="E146" s="316" t="s">
        <v>2082</v>
      </c>
      <c r="F146" s="316" t="s">
        <v>2094</v>
      </c>
      <c r="G146" s="316" t="s">
        <v>2117</v>
      </c>
    </row>
    <row r="147" spans="1:7">
      <c r="A147" t="s">
        <v>2269</v>
      </c>
      <c r="B147" s="315" t="s">
        <v>593</v>
      </c>
      <c r="C147" s="315" t="s">
        <v>592</v>
      </c>
      <c r="D147" s="316" t="s">
        <v>119</v>
      </c>
      <c r="E147" s="316" t="s">
        <v>119</v>
      </c>
      <c r="F147" s="316" t="s">
        <v>119</v>
      </c>
      <c r="G147" s="316" t="s">
        <v>2119</v>
      </c>
    </row>
    <row r="148" spans="1:7">
      <c r="A148" t="s">
        <v>2270</v>
      </c>
      <c r="B148" s="315" t="s">
        <v>595</v>
      </c>
      <c r="C148" s="315" t="s">
        <v>594</v>
      </c>
      <c r="D148" s="316" t="s">
        <v>115</v>
      </c>
      <c r="E148" s="316" t="s">
        <v>2080</v>
      </c>
      <c r="F148" s="316" t="s">
        <v>1515</v>
      </c>
      <c r="G148" s="316" t="s">
        <v>2114</v>
      </c>
    </row>
    <row r="149" spans="1:7">
      <c r="A149" t="s">
        <v>2271</v>
      </c>
      <c r="B149" s="315" t="s">
        <v>597</v>
      </c>
      <c r="C149" s="315" t="s">
        <v>596</v>
      </c>
      <c r="D149" s="316" t="s">
        <v>119</v>
      </c>
      <c r="E149" s="316" t="s">
        <v>119</v>
      </c>
      <c r="F149" s="316" t="s">
        <v>119</v>
      </c>
      <c r="G149" s="316" t="s">
        <v>2117</v>
      </c>
    </row>
    <row r="150" spans="1:7">
      <c r="A150" t="s">
        <v>2272</v>
      </c>
      <c r="B150" s="315" t="s">
        <v>599</v>
      </c>
      <c r="C150" s="315" t="s">
        <v>598</v>
      </c>
      <c r="D150" s="316" t="s">
        <v>119</v>
      </c>
      <c r="E150" s="316" t="s">
        <v>119</v>
      </c>
      <c r="F150" s="316" t="s">
        <v>119</v>
      </c>
      <c r="G150" s="316" t="s">
        <v>2112</v>
      </c>
    </row>
    <row r="151" spans="1:7">
      <c r="A151" t="s">
        <v>2273</v>
      </c>
      <c r="B151" s="315" t="s">
        <v>601</v>
      </c>
      <c r="C151" s="315" t="s">
        <v>600</v>
      </c>
      <c r="D151" s="316" t="s">
        <v>114</v>
      </c>
      <c r="E151" s="316" t="s">
        <v>2084</v>
      </c>
      <c r="F151" s="316" t="s">
        <v>2094</v>
      </c>
      <c r="G151" s="316" t="s">
        <v>2117</v>
      </c>
    </row>
    <row r="152" spans="1:7">
      <c r="A152" t="s">
        <v>2274</v>
      </c>
      <c r="B152" s="315" t="s">
        <v>603</v>
      </c>
      <c r="C152" s="315" t="s">
        <v>1067</v>
      </c>
      <c r="D152" s="316" t="s">
        <v>115</v>
      </c>
      <c r="E152" s="316" t="s">
        <v>2081</v>
      </c>
      <c r="F152" s="316" t="s">
        <v>1515</v>
      </c>
      <c r="G152" s="316" t="s">
        <v>2117</v>
      </c>
    </row>
    <row r="153" spans="1:7">
      <c r="A153" t="s">
        <v>2275</v>
      </c>
      <c r="B153" s="315" t="s">
        <v>605</v>
      </c>
      <c r="C153" s="315" t="s">
        <v>604</v>
      </c>
      <c r="D153" s="316" t="s">
        <v>115</v>
      </c>
      <c r="E153" s="316" t="s">
        <v>2080</v>
      </c>
      <c r="F153" s="316" t="s">
        <v>1515</v>
      </c>
      <c r="G153" s="316" t="s">
        <v>2117</v>
      </c>
    </row>
    <row r="154" spans="1:7">
      <c r="A154" t="s">
        <v>2276</v>
      </c>
      <c r="B154" s="315" t="s">
        <v>609</v>
      </c>
      <c r="C154" s="315" t="s">
        <v>608</v>
      </c>
      <c r="D154" s="316" t="s">
        <v>119</v>
      </c>
      <c r="E154" s="316" t="s">
        <v>119</v>
      </c>
      <c r="F154" s="316" t="s">
        <v>119</v>
      </c>
      <c r="G154" s="316" t="s">
        <v>2112</v>
      </c>
    </row>
    <row r="155" spans="1:7">
      <c r="A155" t="s">
        <v>2277</v>
      </c>
      <c r="B155" s="315" t="s">
        <v>611</v>
      </c>
      <c r="C155" s="315" t="s">
        <v>610</v>
      </c>
      <c r="D155" s="316" t="s">
        <v>119</v>
      </c>
      <c r="E155" s="316" t="s">
        <v>119</v>
      </c>
      <c r="F155" s="316" t="s">
        <v>119</v>
      </c>
      <c r="G155" s="316" t="s">
        <v>2114</v>
      </c>
    </row>
    <row r="156" spans="1:7">
      <c r="A156" t="s">
        <v>2278</v>
      </c>
      <c r="B156" s="315" t="s">
        <v>489</v>
      </c>
      <c r="C156" s="315" t="s">
        <v>1320</v>
      </c>
      <c r="D156" s="316" t="s">
        <v>114</v>
      </c>
      <c r="E156" s="316" t="s">
        <v>2084</v>
      </c>
      <c r="F156" s="316" t="s">
        <v>2094</v>
      </c>
      <c r="G156" s="316" t="s">
        <v>2117</v>
      </c>
    </row>
    <row r="157" spans="1:7">
      <c r="A157" t="s">
        <v>2279</v>
      </c>
      <c r="B157" s="315" t="s">
        <v>717</v>
      </c>
      <c r="C157" s="315" t="s">
        <v>716</v>
      </c>
      <c r="D157" s="316" t="s">
        <v>119</v>
      </c>
      <c r="E157" s="316" t="s">
        <v>119</v>
      </c>
      <c r="F157" s="316" t="s">
        <v>119</v>
      </c>
      <c r="G157" s="316" t="s">
        <v>2112</v>
      </c>
    </row>
    <row r="158" spans="1:7">
      <c r="A158" t="s">
        <v>2280</v>
      </c>
      <c r="B158" s="315" t="s">
        <v>613</v>
      </c>
      <c r="C158" s="315" t="s">
        <v>612</v>
      </c>
      <c r="D158" s="316" t="s">
        <v>115</v>
      </c>
      <c r="E158" s="316" t="s">
        <v>2080</v>
      </c>
      <c r="F158" s="316" t="s">
        <v>1515</v>
      </c>
      <c r="G158" s="316" t="s">
        <v>2117</v>
      </c>
    </row>
    <row r="159" spans="1:7">
      <c r="A159" t="s">
        <v>2281</v>
      </c>
      <c r="B159" s="315" t="s">
        <v>615</v>
      </c>
      <c r="C159" s="315" t="s">
        <v>614</v>
      </c>
      <c r="D159" s="316" t="s">
        <v>118</v>
      </c>
      <c r="E159" s="316" t="s">
        <v>2083</v>
      </c>
      <c r="F159" s="316" t="s">
        <v>2094</v>
      </c>
      <c r="G159" s="316" t="s">
        <v>2119</v>
      </c>
    </row>
    <row r="160" spans="1:7">
      <c r="A160" t="s">
        <v>2282</v>
      </c>
      <c r="B160" s="315" t="s">
        <v>623</v>
      </c>
      <c r="C160" s="315" t="s">
        <v>622</v>
      </c>
      <c r="D160" s="316" t="s">
        <v>119</v>
      </c>
      <c r="E160" s="316" t="s">
        <v>119</v>
      </c>
      <c r="F160" s="316" t="s">
        <v>117</v>
      </c>
      <c r="G160" s="316" t="s">
        <v>2112</v>
      </c>
    </row>
    <row r="161" spans="1:7">
      <c r="A161" t="s">
        <v>2283</v>
      </c>
      <c r="B161" s="315" t="s">
        <v>625</v>
      </c>
      <c r="C161" s="315" t="s">
        <v>624</v>
      </c>
      <c r="D161" s="316" t="s">
        <v>116</v>
      </c>
      <c r="E161" s="316" t="s">
        <v>2079</v>
      </c>
      <c r="F161" s="316" t="s">
        <v>2093</v>
      </c>
      <c r="G161" s="316" t="s">
        <v>2114</v>
      </c>
    </row>
    <row r="162" spans="1:7">
      <c r="A162" t="s">
        <v>2284</v>
      </c>
      <c r="B162" s="315" t="s">
        <v>627</v>
      </c>
      <c r="C162" s="315" t="s">
        <v>626</v>
      </c>
      <c r="D162" s="316" t="s">
        <v>119</v>
      </c>
      <c r="E162" s="316" t="s">
        <v>119</v>
      </c>
      <c r="F162" s="316" t="s">
        <v>119</v>
      </c>
      <c r="G162" s="316" t="s">
        <v>2119</v>
      </c>
    </row>
    <row r="163" spans="1:7">
      <c r="A163" t="s">
        <v>2285</v>
      </c>
      <c r="B163" s="315" t="s">
        <v>629</v>
      </c>
      <c r="C163" s="315" t="s">
        <v>628</v>
      </c>
      <c r="D163" s="316" t="s">
        <v>115</v>
      </c>
      <c r="E163" s="316" t="s">
        <v>2077</v>
      </c>
      <c r="F163" s="316" t="s">
        <v>1515</v>
      </c>
      <c r="G163" s="316" t="s">
        <v>2117</v>
      </c>
    </row>
    <row r="164" spans="1:7">
      <c r="A164" t="s">
        <v>2286</v>
      </c>
      <c r="B164" s="315" t="s">
        <v>631</v>
      </c>
      <c r="C164" s="315" t="s">
        <v>630</v>
      </c>
      <c r="D164" s="316" t="s">
        <v>115</v>
      </c>
      <c r="E164" s="316" t="s">
        <v>2078</v>
      </c>
      <c r="F164" s="316" t="s">
        <v>1515</v>
      </c>
      <c r="G164" s="316" t="s">
        <v>2117</v>
      </c>
    </row>
    <row r="165" spans="1:7">
      <c r="A165" t="s">
        <v>2287</v>
      </c>
      <c r="B165" s="315" t="s">
        <v>633</v>
      </c>
      <c r="C165" s="315" t="s">
        <v>2288</v>
      </c>
      <c r="D165" s="316" t="s">
        <v>117</v>
      </c>
      <c r="E165" s="316" t="s">
        <v>2082</v>
      </c>
      <c r="F165" s="316" t="s">
        <v>2094</v>
      </c>
      <c r="G165" s="316" t="s">
        <v>2112</v>
      </c>
    </row>
    <row r="166" spans="1:7">
      <c r="A166" t="s">
        <v>2289</v>
      </c>
      <c r="B166" s="315" t="s">
        <v>635</v>
      </c>
      <c r="C166" s="315" t="s">
        <v>634</v>
      </c>
      <c r="D166" s="316" t="s">
        <v>114</v>
      </c>
      <c r="E166" s="316" t="s">
        <v>2084</v>
      </c>
      <c r="F166" s="316" t="s">
        <v>2094</v>
      </c>
      <c r="G166" s="316" t="s">
        <v>2117</v>
      </c>
    </row>
    <row r="167" spans="1:7">
      <c r="A167" t="s">
        <v>2290</v>
      </c>
      <c r="B167" s="315" t="s">
        <v>637</v>
      </c>
      <c r="C167" s="315" t="s">
        <v>636</v>
      </c>
      <c r="D167" s="316" t="s">
        <v>115</v>
      </c>
      <c r="E167" s="316" t="s">
        <v>2083</v>
      </c>
      <c r="F167" s="316" t="s">
        <v>2094</v>
      </c>
      <c r="G167" s="316" t="s">
        <v>2119</v>
      </c>
    </row>
    <row r="168" spans="1:7">
      <c r="A168" t="s">
        <v>2291</v>
      </c>
      <c r="B168" s="315" t="s">
        <v>639</v>
      </c>
      <c r="C168" s="315" t="s">
        <v>638</v>
      </c>
      <c r="D168" s="316" t="s">
        <v>119</v>
      </c>
      <c r="E168" s="316" t="s">
        <v>119</v>
      </c>
      <c r="F168" s="316" t="s">
        <v>119</v>
      </c>
      <c r="G168" s="316" t="s">
        <v>2119</v>
      </c>
    </row>
    <row r="169" spans="1:7">
      <c r="A169" t="s">
        <v>2292</v>
      </c>
      <c r="B169" s="315" t="s">
        <v>509</v>
      </c>
      <c r="C169" s="315" t="s">
        <v>2293</v>
      </c>
      <c r="D169" s="316" t="s">
        <v>115</v>
      </c>
      <c r="E169" s="316" t="s">
        <v>2080</v>
      </c>
      <c r="F169" s="316" t="s">
        <v>1515</v>
      </c>
      <c r="G169" s="316" t="s">
        <v>2114</v>
      </c>
    </row>
    <row r="170" spans="1:7">
      <c r="A170" t="s">
        <v>2294</v>
      </c>
      <c r="B170" s="315" t="s">
        <v>641</v>
      </c>
      <c r="C170" s="315" t="s">
        <v>640</v>
      </c>
      <c r="D170" s="316" t="s">
        <v>114</v>
      </c>
      <c r="E170" s="316" t="s">
        <v>2084</v>
      </c>
      <c r="F170" s="316" t="s">
        <v>2094</v>
      </c>
      <c r="G170" s="316" t="s">
        <v>2114</v>
      </c>
    </row>
    <row r="171" spans="1:7">
      <c r="A171" t="s">
        <v>2295</v>
      </c>
      <c r="B171" s="315" t="s">
        <v>645</v>
      </c>
      <c r="C171" s="315" t="s">
        <v>644</v>
      </c>
      <c r="D171" s="316" t="s">
        <v>119</v>
      </c>
      <c r="E171" s="316" t="s">
        <v>119</v>
      </c>
      <c r="F171" s="316" t="s">
        <v>119</v>
      </c>
      <c r="G171" s="316" t="s">
        <v>2112</v>
      </c>
    </row>
    <row r="172" spans="1:7">
      <c r="A172" t="s">
        <v>2296</v>
      </c>
      <c r="B172" s="315" t="s">
        <v>649</v>
      </c>
      <c r="C172" s="315" t="s">
        <v>648</v>
      </c>
      <c r="D172" s="316" t="s">
        <v>116</v>
      </c>
      <c r="E172" s="316" t="s">
        <v>2076</v>
      </c>
      <c r="F172" s="316" t="s">
        <v>2093</v>
      </c>
      <c r="G172" s="316" t="s">
        <v>2117</v>
      </c>
    </row>
    <row r="173" spans="1:7">
      <c r="A173" t="s">
        <v>2297</v>
      </c>
      <c r="B173" s="315" t="s">
        <v>651</v>
      </c>
      <c r="C173" s="315" t="s">
        <v>650</v>
      </c>
      <c r="D173" s="316" t="s">
        <v>117</v>
      </c>
      <c r="E173" s="316" t="s">
        <v>2082</v>
      </c>
      <c r="F173" s="316" t="s">
        <v>117</v>
      </c>
      <c r="G173" s="316" t="s">
        <v>2119</v>
      </c>
    </row>
    <row r="174" spans="1:7">
      <c r="A174" t="s">
        <v>2298</v>
      </c>
      <c r="B174" s="315" t="s">
        <v>653</v>
      </c>
      <c r="C174" s="315" t="s">
        <v>652</v>
      </c>
      <c r="D174" s="316" t="s">
        <v>115</v>
      </c>
      <c r="E174" s="316" t="s">
        <v>2082</v>
      </c>
      <c r="F174" s="316" t="s">
        <v>2094</v>
      </c>
      <c r="G174" s="316" t="s">
        <v>2114</v>
      </c>
    </row>
    <row r="175" spans="1:7">
      <c r="A175" t="s">
        <v>2299</v>
      </c>
      <c r="B175" s="315" t="s">
        <v>655</v>
      </c>
      <c r="C175" s="315" t="s">
        <v>654</v>
      </c>
      <c r="D175" s="316" t="s">
        <v>115</v>
      </c>
      <c r="E175" s="316" t="s">
        <v>2083</v>
      </c>
      <c r="F175" s="316" t="s">
        <v>2094</v>
      </c>
      <c r="G175" s="316" t="s">
        <v>2114</v>
      </c>
    </row>
    <row r="176" spans="1:7">
      <c r="A176" t="s">
        <v>2300</v>
      </c>
      <c r="B176" s="315" t="s">
        <v>661</v>
      </c>
      <c r="C176" s="315" t="s">
        <v>2301</v>
      </c>
      <c r="D176" s="316" t="s">
        <v>117</v>
      </c>
      <c r="E176" s="316" t="s">
        <v>2082</v>
      </c>
      <c r="F176" s="316" t="s">
        <v>314</v>
      </c>
      <c r="G176" s="316" t="s">
        <v>2117</v>
      </c>
    </row>
    <row r="177" spans="1:7">
      <c r="A177" t="s">
        <v>2302</v>
      </c>
      <c r="B177" s="315" t="s">
        <v>657</v>
      </c>
      <c r="C177" s="315" t="s">
        <v>656</v>
      </c>
      <c r="D177" s="316" t="s">
        <v>119</v>
      </c>
      <c r="E177" s="316" t="s">
        <v>119</v>
      </c>
      <c r="F177" s="316" t="s">
        <v>119</v>
      </c>
      <c r="G177" s="316" t="s">
        <v>2112</v>
      </c>
    </row>
    <row r="178" spans="1:7">
      <c r="A178" t="s">
        <v>2303</v>
      </c>
      <c r="B178" s="315" t="s">
        <v>663</v>
      </c>
      <c r="C178" s="315" t="s">
        <v>662</v>
      </c>
      <c r="D178" s="316" t="s">
        <v>115</v>
      </c>
      <c r="E178" s="316" t="s">
        <v>2077</v>
      </c>
      <c r="F178" s="316" t="s">
        <v>1515</v>
      </c>
      <c r="G178" s="316" t="s">
        <v>2117</v>
      </c>
    </row>
    <row r="179" spans="1:7">
      <c r="A179" t="s">
        <v>2304</v>
      </c>
      <c r="B179" s="315" t="s">
        <v>663</v>
      </c>
      <c r="C179" s="315" t="s">
        <v>662</v>
      </c>
      <c r="D179" s="316" t="s">
        <v>115</v>
      </c>
      <c r="E179" s="316" t="s">
        <v>2077</v>
      </c>
      <c r="F179" s="316" t="s">
        <v>1515</v>
      </c>
      <c r="G179" s="316" t="s">
        <v>2117</v>
      </c>
    </row>
    <row r="180" spans="1:7">
      <c r="A180" t="s">
        <v>2305</v>
      </c>
      <c r="B180" s="315" t="s">
        <v>659</v>
      </c>
      <c r="C180" s="315" t="s">
        <v>658</v>
      </c>
      <c r="D180" s="316" t="s">
        <v>115</v>
      </c>
      <c r="E180" s="316" t="s">
        <v>2081</v>
      </c>
      <c r="F180" s="316" t="s">
        <v>1515</v>
      </c>
      <c r="G180" s="316" t="s">
        <v>2114</v>
      </c>
    </row>
    <row r="181" spans="1:7">
      <c r="A181" t="s">
        <v>2306</v>
      </c>
      <c r="B181" s="315" t="s">
        <v>667</v>
      </c>
      <c r="C181" s="315" t="s">
        <v>666</v>
      </c>
      <c r="D181" s="316" t="s">
        <v>116</v>
      </c>
      <c r="E181" s="316" t="s">
        <v>2079</v>
      </c>
      <c r="F181" s="316" t="s">
        <v>2093</v>
      </c>
      <c r="G181" s="316" t="s">
        <v>2117</v>
      </c>
    </row>
    <row r="182" spans="1:7">
      <c r="A182" t="s">
        <v>2307</v>
      </c>
      <c r="B182" s="315" t="s">
        <v>665</v>
      </c>
      <c r="C182" s="315" t="s">
        <v>664</v>
      </c>
      <c r="D182" s="316" t="s">
        <v>120</v>
      </c>
      <c r="E182" s="316" t="s">
        <v>120</v>
      </c>
      <c r="F182" s="316" t="s">
        <v>664</v>
      </c>
      <c r="G182" s="316" t="s">
        <v>2117</v>
      </c>
    </row>
    <row r="183" spans="1:7">
      <c r="A183" t="s">
        <v>2308</v>
      </c>
      <c r="B183" s="315" t="s">
        <v>669</v>
      </c>
      <c r="C183" s="315" t="s">
        <v>668</v>
      </c>
      <c r="D183" s="316" t="s">
        <v>115</v>
      </c>
      <c r="E183" s="316" t="s">
        <v>2083</v>
      </c>
      <c r="F183" s="316" t="s">
        <v>2094</v>
      </c>
      <c r="G183" s="316" t="s">
        <v>2119</v>
      </c>
    </row>
    <row r="184" spans="1:7">
      <c r="A184" t="s">
        <v>2309</v>
      </c>
      <c r="B184" s="315" t="s">
        <v>671</v>
      </c>
      <c r="C184" s="315" t="s">
        <v>670</v>
      </c>
      <c r="D184" s="316" t="s">
        <v>114</v>
      </c>
      <c r="E184" s="316" t="s">
        <v>2085</v>
      </c>
      <c r="F184" s="316" t="s">
        <v>2085</v>
      </c>
      <c r="G184" s="316" t="s">
        <v>2119</v>
      </c>
    </row>
    <row r="185" spans="1:7">
      <c r="A185" t="s">
        <v>2310</v>
      </c>
      <c r="B185" s="315" t="s">
        <v>673</v>
      </c>
      <c r="C185" s="315" t="s">
        <v>2311</v>
      </c>
      <c r="D185" s="316" t="s">
        <v>116</v>
      </c>
      <c r="E185" s="316" t="s">
        <v>2079</v>
      </c>
      <c r="F185" s="316" t="s">
        <v>2093</v>
      </c>
      <c r="G185" s="316" t="s">
        <v>2114</v>
      </c>
    </row>
    <row r="186" spans="1:7">
      <c r="A186" t="s">
        <v>2312</v>
      </c>
      <c r="B186" s="315" t="s">
        <v>675</v>
      </c>
      <c r="C186" s="315" t="s">
        <v>2313</v>
      </c>
      <c r="D186" s="316" t="s">
        <v>114</v>
      </c>
      <c r="E186" s="316" t="s">
        <v>2084</v>
      </c>
      <c r="F186" s="316" t="s">
        <v>314</v>
      </c>
      <c r="G186" s="316" t="s">
        <v>2119</v>
      </c>
    </row>
    <row r="187" spans="1:7">
      <c r="A187" t="s">
        <v>2314</v>
      </c>
      <c r="B187" s="315" t="s">
        <v>679</v>
      </c>
      <c r="C187" s="315" t="s">
        <v>2315</v>
      </c>
      <c r="D187" s="316" t="s">
        <v>117</v>
      </c>
      <c r="E187" s="316" t="s">
        <v>2082</v>
      </c>
      <c r="F187" s="316" t="s">
        <v>2094</v>
      </c>
      <c r="G187" s="316" t="s">
        <v>2112</v>
      </c>
    </row>
    <row r="188" spans="1:7">
      <c r="A188" t="s">
        <v>2316</v>
      </c>
      <c r="B188" s="315" t="s">
        <v>681</v>
      </c>
      <c r="C188" s="315" t="s">
        <v>680</v>
      </c>
      <c r="D188" s="316" t="s">
        <v>119</v>
      </c>
      <c r="E188" s="316" t="s">
        <v>119</v>
      </c>
      <c r="F188" s="316" t="s">
        <v>119</v>
      </c>
      <c r="G188" s="316" t="s">
        <v>2119</v>
      </c>
    </row>
    <row r="189" spans="1:7">
      <c r="A189" t="s">
        <v>2317</v>
      </c>
      <c r="B189" s="315" t="s">
        <v>683</v>
      </c>
      <c r="C189" s="315" t="s">
        <v>682</v>
      </c>
      <c r="D189" s="316" t="s">
        <v>119</v>
      </c>
      <c r="E189" s="316" t="s">
        <v>119</v>
      </c>
      <c r="F189" s="316" t="s">
        <v>119</v>
      </c>
      <c r="G189" s="316" t="s">
        <v>2119</v>
      </c>
    </row>
  </sheetData>
  <pageMargins left="0.7" right="0.7" top="0.78740157499999996" bottom="0.78740157499999996"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5BFD3-BF28-2F4C-8556-21318EEF4B3B}">
  <dimension ref="A1:M178"/>
  <sheetViews>
    <sheetView showGridLines="0" topLeftCell="C1" zoomScale="81" workbookViewId="0">
      <selection activeCell="AD20" sqref="AD20"/>
    </sheetView>
  </sheetViews>
  <sheetFormatPr defaultColWidth="11" defaultRowHeight="15.6"/>
  <cols>
    <col min="1" max="1" width="46.19921875" bestFit="1" customWidth="1"/>
    <col min="3" max="3" width="23.5" bestFit="1" customWidth="1"/>
    <col min="4" max="4" width="27.69921875" bestFit="1" customWidth="1"/>
    <col min="5" max="5" width="17.296875" customWidth="1"/>
    <col min="6" max="6" width="19.19921875" customWidth="1"/>
    <col min="7" max="7" width="14.796875" customWidth="1"/>
    <col min="8" max="8" width="20.69921875" customWidth="1"/>
    <col min="9" max="9" width="13.296875" customWidth="1"/>
    <col min="10" max="10" width="17.69921875" customWidth="1"/>
    <col min="11" max="11" width="25.5" customWidth="1"/>
    <col min="12" max="12" width="16.19921875" customWidth="1"/>
  </cols>
  <sheetData>
    <row r="1" spans="1:13" ht="43.2">
      <c r="A1" s="317" t="s">
        <v>2106</v>
      </c>
      <c r="B1" s="317" t="s">
        <v>37</v>
      </c>
      <c r="C1" s="317" t="s">
        <v>2318</v>
      </c>
      <c r="D1" s="317" t="s">
        <v>2319</v>
      </c>
      <c r="E1" s="317" t="s">
        <v>2320</v>
      </c>
      <c r="F1" s="317" t="s">
        <v>2321</v>
      </c>
      <c r="G1" s="317" t="s">
        <v>2414</v>
      </c>
      <c r="H1" s="317" t="s">
        <v>2322</v>
      </c>
      <c r="I1" s="317" t="s">
        <v>2323</v>
      </c>
      <c r="J1" s="317" t="s">
        <v>2324</v>
      </c>
      <c r="K1" s="318" t="s">
        <v>2325</v>
      </c>
      <c r="L1" s="318" t="s">
        <v>2413</v>
      </c>
      <c r="M1" s="323" t="s">
        <v>2415</v>
      </c>
    </row>
    <row r="2" spans="1:13">
      <c r="A2" s="319" t="s">
        <v>686</v>
      </c>
      <c r="B2" s="319" t="s">
        <v>687</v>
      </c>
      <c r="C2" s="319" t="str">
        <f>INDEX(Countries_Codes[Earning Premium Database],MATCH(B2,Countries_Codes[Country Code 3 digit],0))</f>
        <v>Latin America &amp; Caribbean</v>
      </c>
      <c r="D2" s="319" t="str">
        <f>INDEX(Countries_Codes[Income level, World Bank (2024)],MATCH(B2,Countries_Codes[Country Code 3 digit],0))</f>
        <v>High-income countries</v>
      </c>
      <c r="E2" s="319" t="s">
        <v>2326</v>
      </c>
      <c r="F2" s="319">
        <v>2010</v>
      </c>
      <c r="G2" s="320">
        <v>8.8100000000000012E-2</v>
      </c>
      <c r="H2" s="319" t="s">
        <v>2327</v>
      </c>
      <c r="I2" s="319" t="s">
        <v>2327</v>
      </c>
      <c r="J2" s="320" t="s">
        <v>2327</v>
      </c>
      <c r="K2" s="321">
        <f t="shared" ref="K2:K33" si="0">IF(J2="",IFERROR(AVERAGEIFS($J$2:$J$178,$J$2:$J$178,"&lt;&gt;""",$C$2:$C$178,$C2,$D$2:$D$178,D2),AVERAGEIFS($J$2:$J$178,$J$2:$J$178,"&lt;&gt;""",$D$2:$D$178,D2)),J2)</f>
        <v>0.37032500000000002</v>
      </c>
      <c r="L2" s="322">
        <f>(1-G2)*(1-K2)</f>
        <v>0.57420063249999997</v>
      </c>
      <c r="M2" s="324">
        <f>1-L2</f>
        <v>0.42579936750000003</v>
      </c>
    </row>
    <row r="3" spans="1:13">
      <c r="A3" s="319" t="s">
        <v>317</v>
      </c>
      <c r="B3" s="319" t="s">
        <v>318</v>
      </c>
      <c r="C3" s="319" t="str">
        <f>INDEX(Countries_Codes[Earning Premium Database],MATCH(B3,Countries_Codes[Country Code 3 digit],0))</f>
        <v>South Asia</v>
      </c>
      <c r="D3" s="319" t="str">
        <f>INDEX(Countries_Codes[Income level, World Bank (2024)],MATCH(B3,Countries_Codes[Country Code 3 digit],0))</f>
        <v>Low-income countries</v>
      </c>
      <c r="E3" s="319" t="s">
        <v>2328</v>
      </c>
      <c r="F3" s="319">
        <v>2021</v>
      </c>
      <c r="G3" s="320">
        <v>4.5159999999999999E-2</v>
      </c>
      <c r="H3" s="319" t="s">
        <v>2328</v>
      </c>
      <c r="I3" s="319">
        <v>2021</v>
      </c>
      <c r="J3" s="320">
        <v>0.86124999999999996</v>
      </c>
      <c r="K3" s="321">
        <f t="shared" si="0"/>
        <v>0.86124999999999996</v>
      </c>
      <c r="L3" s="322">
        <f t="shared" ref="L3:L58" si="1">(1-G3)*(1-K3)</f>
        <v>0.13248405000000005</v>
      </c>
      <c r="M3" s="324">
        <f t="shared" ref="M3:M66" si="2">1-L3</f>
        <v>0.86751594999999992</v>
      </c>
    </row>
    <row r="4" spans="1:13">
      <c r="A4" s="319" t="s">
        <v>326</v>
      </c>
      <c r="B4" s="319" t="s">
        <v>327</v>
      </c>
      <c r="C4" s="319" t="str">
        <f>INDEX(Countries_Codes[Earning Premium Database],MATCH(B4,Countries_Codes[Country Code 3 digit],0))</f>
        <v>Sub-Saharan Africa</v>
      </c>
      <c r="D4" s="319" t="str">
        <f>INDEX(Countries_Codes[Income level, World Bank (2024)],MATCH(B4,Countries_Codes[Country Code 3 digit],0))</f>
        <v>Lower-middle-income countries</v>
      </c>
      <c r="E4" s="319" t="s">
        <v>2329</v>
      </c>
      <c r="F4" s="319">
        <v>2022</v>
      </c>
      <c r="G4" s="320">
        <v>9.784000000000001E-2</v>
      </c>
      <c r="H4" s="319" t="s">
        <v>2329</v>
      </c>
      <c r="I4" s="319">
        <v>2022</v>
      </c>
      <c r="J4" s="320">
        <v>0.92188999999999988</v>
      </c>
      <c r="K4" s="321">
        <f t="shared" si="0"/>
        <v>0.92188999999999988</v>
      </c>
      <c r="L4" s="322">
        <f t="shared" si="1"/>
        <v>7.0467717600000104E-2</v>
      </c>
      <c r="M4" s="324">
        <f t="shared" si="2"/>
        <v>0.92953228239999985</v>
      </c>
    </row>
    <row r="5" spans="1:13">
      <c r="A5" s="319" t="s">
        <v>320</v>
      </c>
      <c r="B5" s="319" t="s">
        <v>321</v>
      </c>
      <c r="C5" s="319" t="str">
        <f>INDEX(Countries_Codes[Earning Premium Database],MATCH(B5,Countries_Codes[Country Code 3 digit],0))</f>
        <v>Europe &amp; Central Asia</v>
      </c>
      <c r="D5" s="319" t="str">
        <f>INDEX(Countries_Codes[Income level, World Bank (2024)],MATCH(B5,Countries_Codes[Country Code 3 digit],0))</f>
        <v>Upper-middle-income countries</v>
      </c>
      <c r="E5" s="319" t="s">
        <v>2328</v>
      </c>
      <c r="F5" s="319">
        <v>2023</v>
      </c>
      <c r="G5" s="320">
        <v>9.078E-2</v>
      </c>
      <c r="H5" s="319" t="s">
        <v>2327</v>
      </c>
      <c r="I5" s="319" t="s">
        <v>2327</v>
      </c>
      <c r="J5" s="320" t="s">
        <v>2327</v>
      </c>
      <c r="K5" s="321">
        <f t="shared" si="0"/>
        <v>0.33085285714285717</v>
      </c>
      <c r="L5" s="322">
        <f t="shared" si="1"/>
        <v>0.60840196522857137</v>
      </c>
      <c r="M5" s="324">
        <f t="shared" si="2"/>
        <v>0.39159803477142863</v>
      </c>
    </row>
    <row r="6" spans="1:13">
      <c r="A6" s="319" t="s">
        <v>660</v>
      </c>
      <c r="B6" s="319" t="s">
        <v>661</v>
      </c>
      <c r="C6" s="319" t="str">
        <f>INDEX(Countries_Codes[Earning Premium Database],MATCH(B6,Countries_Codes[Country Code 3 digit],0))</f>
        <v>Middle East &amp; North Africa</v>
      </c>
      <c r="D6" s="319" t="str">
        <f>INDEX(Countries_Codes[Income level, World Bank (2024)],MATCH(B6,Countries_Codes[Country Code 3 digit],0))</f>
        <v>High-income countries</v>
      </c>
      <c r="E6" s="319" t="s">
        <v>2328</v>
      </c>
      <c r="F6" s="319">
        <v>2023</v>
      </c>
      <c r="G6" s="320">
        <v>1.695E-2</v>
      </c>
      <c r="H6" s="319" t="s">
        <v>2327</v>
      </c>
      <c r="I6" s="319" t="s">
        <v>2327</v>
      </c>
      <c r="J6" s="320" t="s">
        <v>2327</v>
      </c>
      <c r="K6" s="321">
        <f t="shared" si="0"/>
        <v>0.10858720930232556</v>
      </c>
      <c r="L6" s="322">
        <f>(1-G6)*(1-K6)</f>
        <v>0.87630334389534881</v>
      </c>
      <c r="M6" s="324">
        <f t="shared" si="2"/>
        <v>0.12369665610465119</v>
      </c>
    </row>
    <row r="7" spans="1:13">
      <c r="A7" s="319" t="s">
        <v>330</v>
      </c>
      <c r="B7" s="319" t="s">
        <v>331</v>
      </c>
      <c r="C7" s="319" t="str">
        <f>INDEX(Countries_Codes[Earning Premium Database],MATCH(B7,Countries_Codes[Country Code 3 digit],0))</f>
        <v>Latin America &amp; Caribbean</v>
      </c>
      <c r="D7" s="319" t="str">
        <f>INDEX(Countries_Codes[Income level, World Bank (2024)],MATCH(B7,Countries_Codes[Country Code 3 digit],0))</f>
        <v>Upper-middle-income countries</v>
      </c>
      <c r="E7" s="319" t="s">
        <v>2331</v>
      </c>
      <c r="F7" s="319">
        <v>2024</v>
      </c>
      <c r="G7" s="320">
        <v>5.4560000000000004E-2</v>
      </c>
      <c r="H7" s="319" t="s">
        <v>2331</v>
      </c>
      <c r="I7" s="319">
        <v>2024</v>
      </c>
      <c r="J7" s="320">
        <v>0.51576</v>
      </c>
      <c r="K7" s="321">
        <f t="shared" si="0"/>
        <v>0.51576</v>
      </c>
      <c r="L7" s="322">
        <f t="shared" si="1"/>
        <v>0.45781986559999999</v>
      </c>
      <c r="M7" s="324">
        <f t="shared" si="2"/>
        <v>0.54218013440000001</v>
      </c>
    </row>
    <row r="8" spans="1:13">
      <c r="A8" s="319" t="s">
        <v>332</v>
      </c>
      <c r="B8" s="319" t="s">
        <v>333</v>
      </c>
      <c r="C8" s="319" t="str">
        <f>INDEX(Countries_Codes[Earning Premium Database],MATCH(B8,Countries_Codes[Country Code 3 digit],0))</f>
        <v>Europe &amp; Central Asia</v>
      </c>
      <c r="D8" s="319" t="str">
        <f>INDEX(Countries_Codes[Income level, World Bank (2024)],MATCH(B8,Countries_Codes[Country Code 3 digit],0))</f>
        <v>Upper-middle-income countries</v>
      </c>
      <c r="E8" s="319" t="s">
        <v>2332</v>
      </c>
      <c r="F8" s="319">
        <v>2023</v>
      </c>
      <c r="G8" s="320">
        <v>7.2050000000000003E-2</v>
      </c>
      <c r="H8" s="319" t="s">
        <v>2333</v>
      </c>
      <c r="I8" s="319">
        <v>2017</v>
      </c>
      <c r="J8" s="320">
        <v>0.47877999999999998</v>
      </c>
      <c r="K8" s="321">
        <f t="shared" si="0"/>
        <v>0.47877999999999998</v>
      </c>
      <c r="L8" s="322">
        <f t="shared" si="1"/>
        <v>0.48366609900000002</v>
      </c>
      <c r="M8" s="324">
        <f t="shared" si="2"/>
        <v>0.51633390099999998</v>
      </c>
    </row>
    <row r="9" spans="1:13">
      <c r="A9" s="319" t="s">
        <v>328</v>
      </c>
      <c r="B9" s="319" t="s">
        <v>329</v>
      </c>
      <c r="C9" s="319" t="str">
        <f>INDEX(Countries_Codes[Earning Premium Database],MATCH(B9,Countries_Codes[Country Code 3 digit],0))</f>
        <v>Latin America &amp; Caribbean</v>
      </c>
      <c r="D9" s="319" t="str">
        <f>INDEX(Countries_Codes[Income level, World Bank (2024)],MATCH(B9,Countries_Codes[Country Code 3 digit],0))</f>
        <v>High-income countries</v>
      </c>
      <c r="E9" s="319" t="s">
        <v>2328</v>
      </c>
      <c r="F9" s="319">
        <v>2023</v>
      </c>
      <c r="G9" s="320">
        <v>3.8620000000000002E-2</v>
      </c>
      <c r="H9" s="319" t="s">
        <v>2328</v>
      </c>
      <c r="I9" s="319">
        <v>2018</v>
      </c>
      <c r="J9" s="320">
        <v>0.12687999999999999</v>
      </c>
      <c r="K9" s="321">
        <f t="shared" si="0"/>
        <v>0.12687999999999999</v>
      </c>
      <c r="L9" s="322">
        <f t="shared" si="1"/>
        <v>0.8394001056</v>
      </c>
      <c r="M9" s="324">
        <f t="shared" si="2"/>
        <v>0.1605998944</v>
      </c>
    </row>
    <row r="10" spans="1:13">
      <c r="A10" s="319" t="s">
        <v>334</v>
      </c>
      <c r="B10" s="319" t="s">
        <v>335</v>
      </c>
      <c r="C10" s="319" t="str">
        <f>INDEX(Countries_Codes[Earning Premium Database],MATCH(B10,Countries_Codes[Country Code 3 digit],0))</f>
        <v>East Asia &amp; Pacific</v>
      </c>
      <c r="D10" s="319" t="str">
        <f>INDEX(Countries_Codes[Income level, World Bank (2024)],MATCH(B10,Countries_Codes[Country Code 3 digit],0))</f>
        <v>High-income countries</v>
      </c>
      <c r="E10" s="319" t="s">
        <v>2328</v>
      </c>
      <c r="F10" s="319">
        <v>2024</v>
      </c>
      <c r="G10" s="320">
        <v>2.9089999999999998E-2</v>
      </c>
      <c r="H10" s="319" t="s">
        <v>2327</v>
      </c>
      <c r="I10" s="319" t="s">
        <v>2327</v>
      </c>
      <c r="J10" s="320" t="s">
        <v>2327</v>
      </c>
      <c r="K10" s="321">
        <f t="shared" si="0"/>
        <v>0.27546999999999999</v>
      </c>
      <c r="L10" s="322">
        <f t="shared" si="1"/>
        <v>0.70345342230000008</v>
      </c>
      <c r="M10" s="324">
        <f t="shared" si="2"/>
        <v>0.29654657769999992</v>
      </c>
    </row>
    <row r="11" spans="1:13">
      <c r="A11" s="319" t="s">
        <v>336</v>
      </c>
      <c r="B11" s="319" t="s">
        <v>337</v>
      </c>
      <c r="C11" s="319" t="str">
        <f>INDEX(Countries_Codes[Earning Premium Database],MATCH(B11,Countries_Codes[Country Code 3 digit],0))</f>
        <v>Europe &amp; Central Asia</v>
      </c>
      <c r="D11" s="319" t="str">
        <f>INDEX(Countries_Codes[Income level, World Bank (2024)],MATCH(B11,Countries_Codes[Country Code 3 digit],0))</f>
        <v>High-income countries</v>
      </c>
      <c r="E11" s="319" t="s">
        <v>2328</v>
      </c>
      <c r="F11" s="319">
        <v>2024</v>
      </c>
      <c r="G11" s="320">
        <v>4.4999999999999998E-2</v>
      </c>
      <c r="H11" s="319" t="s">
        <v>2334</v>
      </c>
      <c r="I11" s="319">
        <v>2023</v>
      </c>
      <c r="J11" s="320">
        <v>9.5599999999999991E-3</v>
      </c>
      <c r="K11" s="321">
        <f t="shared" si="0"/>
        <v>9.5599999999999991E-3</v>
      </c>
      <c r="L11" s="322">
        <f t="shared" si="1"/>
        <v>0.94587019999999999</v>
      </c>
      <c r="M11" s="324">
        <f t="shared" si="2"/>
        <v>5.4129800000000006E-2</v>
      </c>
    </row>
    <row r="12" spans="1:13">
      <c r="A12" s="319" t="s">
        <v>338</v>
      </c>
      <c r="B12" s="319" t="s">
        <v>339</v>
      </c>
      <c r="C12" s="319" t="str">
        <f>INDEX(Countries_Codes[Earning Premium Database],MATCH(B12,Countries_Codes[Country Code 3 digit],0))</f>
        <v>Europe &amp; Central Asia</v>
      </c>
      <c r="D12" s="319" t="str">
        <f>INDEX(Countries_Codes[Income level, World Bank (2024)],MATCH(B12,Countries_Codes[Country Code 3 digit],0))</f>
        <v>Upper-middle-income countries</v>
      </c>
      <c r="E12" s="319" t="s">
        <v>2328</v>
      </c>
      <c r="F12" s="319">
        <v>2022</v>
      </c>
      <c r="G12" s="320">
        <v>4.5999999999999999E-2</v>
      </c>
      <c r="H12" s="319" t="s">
        <v>2327</v>
      </c>
      <c r="I12" s="319" t="s">
        <v>2327</v>
      </c>
      <c r="J12" s="320" t="s">
        <v>2327</v>
      </c>
      <c r="K12" s="321">
        <f t="shared" si="0"/>
        <v>0.33085285714285717</v>
      </c>
      <c r="L12" s="322">
        <f t="shared" si="1"/>
        <v>0.63836637428571419</v>
      </c>
      <c r="M12" s="324">
        <f t="shared" si="2"/>
        <v>0.36163362571428581</v>
      </c>
    </row>
    <row r="13" spans="1:13">
      <c r="A13" s="319" t="s">
        <v>370</v>
      </c>
      <c r="B13" s="319" t="s">
        <v>371</v>
      </c>
      <c r="C13" s="319" t="str">
        <f>INDEX(Countries_Codes[Earning Premium Database],MATCH(B13,Countries_Codes[Country Code 3 digit],0))</f>
        <v>Sub-Saharan Africa</v>
      </c>
      <c r="D13" s="319" t="str">
        <f>INDEX(Countries_Codes[Income level, World Bank (2024)],MATCH(B13,Countries_Codes[Country Code 3 digit],0))</f>
        <v>Low-income countries</v>
      </c>
      <c r="E13" s="319" t="s">
        <v>2335</v>
      </c>
      <c r="F13" s="319">
        <v>2020</v>
      </c>
      <c r="G13" s="320">
        <v>8.2100000000000003E-3</v>
      </c>
      <c r="H13" s="319" t="s">
        <v>2335</v>
      </c>
      <c r="I13" s="319">
        <v>2014</v>
      </c>
      <c r="J13" s="320">
        <v>0.98305000000000009</v>
      </c>
      <c r="K13" s="321">
        <f t="shared" si="0"/>
        <v>0.98305000000000009</v>
      </c>
      <c r="L13" s="322">
        <f t="shared" si="1"/>
        <v>1.681084049999991E-2</v>
      </c>
      <c r="M13" s="324">
        <f t="shared" si="2"/>
        <v>0.98318915950000008</v>
      </c>
    </row>
    <row r="14" spans="1:13">
      <c r="A14" s="319" t="s">
        <v>348</v>
      </c>
      <c r="B14" s="319" t="s">
        <v>349</v>
      </c>
      <c r="C14" s="319" t="str">
        <f>INDEX(Countries_Codes[Earning Premium Database],MATCH(B14,Countries_Codes[Country Code 3 digit],0))</f>
        <v>Europe &amp; Central Asia</v>
      </c>
      <c r="D14" s="319" t="str">
        <f>INDEX(Countries_Codes[Income level, World Bank (2024)],MATCH(B14,Countries_Codes[Country Code 3 digit],0))</f>
        <v>High-income countries</v>
      </c>
      <c r="E14" s="319" t="s">
        <v>2336</v>
      </c>
      <c r="F14" s="319">
        <v>2024</v>
      </c>
      <c r="G14" s="320">
        <v>4.7E-2</v>
      </c>
      <c r="H14" s="319" t="s">
        <v>2334</v>
      </c>
      <c r="I14" s="319">
        <v>2023</v>
      </c>
      <c r="J14" s="320">
        <v>1.06E-2</v>
      </c>
      <c r="K14" s="321">
        <f t="shared" si="0"/>
        <v>1.06E-2</v>
      </c>
      <c r="L14" s="322">
        <f t="shared" si="1"/>
        <v>0.94289819999999991</v>
      </c>
      <c r="M14" s="324">
        <f t="shared" si="2"/>
        <v>5.7101800000000091E-2</v>
      </c>
    </row>
    <row r="15" spans="1:13">
      <c r="A15" s="319" t="s">
        <v>352</v>
      </c>
      <c r="B15" s="319" t="s">
        <v>353</v>
      </c>
      <c r="C15" s="319" t="str">
        <f>INDEX(Countries_Codes[Earning Premium Database],MATCH(B15,Countries_Codes[Country Code 3 digit],0))</f>
        <v>Sub-Saharan Africa</v>
      </c>
      <c r="D15" s="319" t="str">
        <f>INDEX(Countries_Codes[Income level, World Bank (2024)],MATCH(B15,Countries_Codes[Country Code 3 digit],0))</f>
        <v>Lower-middle-income countries</v>
      </c>
      <c r="E15" s="319" t="s">
        <v>2337</v>
      </c>
      <c r="F15" s="319">
        <v>2022</v>
      </c>
      <c r="G15" s="320">
        <v>1.2619999999999999E-2</v>
      </c>
      <c r="H15" s="319" t="s">
        <v>2337</v>
      </c>
      <c r="I15" s="319">
        <v>2022</v>
      </c>
      <c r="J15" s="320">
        <v>0.96346999999999994</v>
      </c>
      <c r="K15" s="321">
        <f t="shared" si="0"/>
        <v>0.96346999999999994</v>
      </c>
      <c r="L15" s="322">
        <f t="shared" si="1"/>
        <v>3.6068991400000062E-2</v>
      </c>
      <c r="M15" s="324">
        <f t="shared" si="2"/>
        <v>0.96393100859999992</v>
      </c>
    </row>
    <row r="16" spans="1:13">
      <c r="A16" s="319" t="s">
        <v>368</v>
      </c>
      <c r="B16" s="319" t="s">
        <v>369</v>
      </c>
      <c r="C16" s="319" t="str">
        <f>INDEX(Countries_Codes[Earning Premium Database],MATCH(B16,Countries_Codes[Country Code 3 digit],0))</f>
        <v>Sub-Saharan Africa</v>
      </c>
      <c r="D16" s="319" t="str">
        <f>INDEX(Countries_Codes[Income level, World Bank (2024)],MATCH(B16,Countries_Codes[Country Code 3 digit],0))</f>
        <v>Low-income countries</v>
      </c>
      <c r="E16" s="319" t="s">
        <v>2328</v>
      </c>
      <c r="F16" s="319">
        <v>2024</v>
      </c>
      <c r="G16" s="320">
        <v>2.4140000000000002E-2</v>
      </c>
      <c r="H16" s="319" t="s">
        <v>2338</v>
      </c>
      <c r="I16" s="319">
        <v>2023</v>
      </c>
      <c r="J16" s="320">
        <v>0.95155000000000001</v>
      </c>
      <c r="K16" s="321">
        <f t="shared" si="0"/>
        <v>0.95155000000000001</v>
      </c>
      <c r="L16" s="322">
        <f t="shared" si="1"/>
        <v>4.7280416999999991E-2</v>
      </c>
      <c r="M16" s="324">
        <f t="shared" si="2"/>
        <v>0.95271958300000004</v>
      </c>
    </row>
    <row r="17" spans="1:13">
      <c r="A17" s="319" t="s">
        <v>342</v>
      </c>
      <c r="B17" s="319" t="s">
        <v>343</v>
      </c>
      <c r="C17" s="319" t="str">
        <f>INDEX(Countries_Codes[Earning Premium Database],MATCH(B17,Countries_Codes[Country Code 3 digit],0))</f>
        <v>South Asia</v>
      </c>
      <c r="D17" s="319" t="str">
        <f>INDEX(Countries_Codes[Income level, World Bank (2024)],MATCH(B17,Countries_Codes[Country Code 3 digit],0))</f>
        <v>Lower-middle-income countries</v>
      </c>
      <c r="E17" s="319" t="s">
        <v>2328</v>
      </c>
      <c r="F17" s="319">
        <v>2023</v>
      </c>
      <c r="G17" s="320">
        <v>2.0879999999999999E-2</v>
      </c>
      <c r="H17" s="319" t="s">
        <v>2328</v>
      </c>
      <c r="I17" s="319">
        <v>2023</v>
      </c>
      <c r="J17" s="320">
        <v>0.84184999999999999</v>
      </c>
      <c r="K17" s="321">
        <f t="shared" si="0"/>
        <v>0.84184999999999999</v>
      </c>
      <c r="L17" s="322">
        <f t="shared" si="1"/>
        <v>0.15484782800000002</v>
      </c>
      <c r="M17" s="324">
        <f t="shared" si="2"/>
        <v>0.84515217199999992</v>
      </c>
    </row>
    <row r="18" spans="1:13">
      <c r="A18" s="319" t="s">
        <v>366</v>
      </c>
      <c r="B18" s="319" t="s">
        <v>367</v>
      </c>
      <c r="C18" s="319" t="str">
        <f>INDEX(Countries_Codes[Earning Premium Database],MATCH(B18,Countries_Codes[Country Code 3 digit],0))</f>
        <v>Europe &amp; Central Asia</v>
      </c>
      <c r="D18" s="319" t="str">
        <f>INDEX(Countries_Codes[Income level, World Bank (2024)],MATCH(B18,Countries_Codes[Country Code 3 digit],0))</f>
        <v>High-income countries</v>
      </c>
      <c r="E18" s="319" t="s">
        <v>2336</v>
      </c>
      <c r="F18" s="319">
        <v>2024</v>
      </c>
      <c r="G18" s="320">
        <v>3.7999999999999999E-2</v>
      </c>
      <c r="H18" s="319" t="s">
        <v>2334</v>
      </c>
      <c r="I18" s="319">
        <v>2023</v>
      </c>
      <c r="J18" s="320">
        <v>1.24E-2</v>
      </c>
      <c r="K18" s="321">
        <f t="shared" si="0"/>
        <v>1.24E-2</v>
      </c>
      <c r="L18" s="322">
        <f t="shared" si="1"/>
        <v>0.9500712</v>
      </c>
      <c r="M18" s="324">
        <f t="shared" si="2"/>
        <v>4.9928799999999995E-2</v>
      </c>
    </row>
    <row r="19" spans="1:13">
      <c r="A19" s="319" t="s">
        <v>690</v>
      </c>
      <c r="B19" s="319" t="s">
        <v>691</v>
      </c>
      <c r="C19" s="319" t="str">
        <f>INDEX(Countries_Codes[Earning Premium Database],MATCH(B19,Countries_Codes[Country Code 3 digit],0))</f>
        <v>Middle East &amp; North Africa</v>
      </c>
      <c r="D19" s="319" t="str">
        <f>INDEX(Countries_Codes[Income level, World Bank (2024)],MATCH(B19,Countries_Codes[Country Code 3 digit],0))</f>
        <v>High-income countries</v>
      </c>
      <c r="E19" s="319" t="s">
        <v>2339</v>
      </c>
      <c r="F19" s="319">
        <v>2012</v>
      </c>
      <c r="G19" s="320">
        <v>6.9999999999999993E-3</v>
      </c>
      <c r="H19" s="319" t="s">
        <v>2327</v>
      </c>
      <c r="I19" s="319" t="s">
        <v>2327</v>
      </c>
      <c r="J19" s="320" t="s">
        <v>2327</v>
      </c>
      <c r="K19" s="321">
        <f t="shared" si="0"/>
        <v>0.10858720930232556</v>
      </c>
      <c r="L19" s="322">
        <f t="shared" si="1"/>
        <v>0.88517290116279068</v>
      </c>
      <c r="M19" s="324">
        <f t="shared" si="2"/>
        <v>0.11482709883720932</v>
      </c>
    </row>
    <row r="20" spans="1:13">
      <c r="A20" s="319" t="s">
        <v>2129</v>
      </c>
      <c r="B20" s="319" t="s">
        <v>341</v>
      </c>
      <c r="C20" s="319" t="str">
        <f>INDEX(Countries_Codes[Earning Premium Database],MATCH(B20,Countries_Codes[Country Code 3 digit],0))</f>
        <v>Latin America &amp; Caribbean</v>
      </c>
      <c r="D20" s="319" t="str">
        <f>INDEX(Countries_Codes[Income level, World Bank (2024)],MATCH(B20,Countries_Codes[Country Code 3 digit],0))</f>
        <v>High-income countries</v>
      </c>
      <c r="E20" s="319" t="s">
        <v>2340</v>
      </c>
      <c r="F20" s="319">
        <v>2023</v>
      </c>
      <c r="G20" s="320">
        <v>7.2529999999999997E-2</v>
      </c>
      <c r="H20" s="319" t="s">
        <v>2340</v>
      </c>
      <c r="I20" s="319">
        <v>2019</v>
      </c>
      <c r="J20" s="320">
        <v>0.18361</v>
      </c>
      <c r="K20" s="321">
        <f t="shared" si="0"/>
        <v>0.18361</v>
      </c>
      <c r="L20" s="322">
        <f t="shared" si="1"/>
        <v>0.75717723329999997</v>
      </c>
      <c r="M20" s="324">
        <f t="shared" si="2"/>
        <v>0.24282276670000003</v>
      </c>
    </row>
    <row r="21" spans="1:13">
      <c r="A21" s="319" t="s">
        <v>358</v>
      </c>
      <c r="B21" s="319" t="s">
        <v>359</v>
      </c>
      <c r="C21" s="319" t="str">
        <f>INDEX(Countries_Codes[Earning Premium Database],MATCH(B21,Countries_Codes[Country Code 3 digit],0))</f>
        <v>Europe &amp; Central Asia</v>
      </c>
      <c r="D21" s="319" t="str">
        <f>INDEX(Countries_Codes[Income level, World Bank (2024)],MATCH(B21,Countries_Codes[Country Code 3 digit],0))</f>
        <v>Upper-middle-income countries</v>
      </c>
      <c r="E21" s="319" t="s">
        <v>2328</v>
      </c>
      <c r="F21" s="319">
        <v>2023</v>
      </c>
      <c r="G21" s="320">
        <v>9.5329999999999998E-2</v>
      </c>
      <c r="H21" s="319" t="s">
        <v>2328</v>
      </c>
      <c r="I21" s="319">
        <v>2023</v>
      </c>
      <c r="J21" s="320">
        <v>0.19666</v>
      </c>
      <c r="K21" s="321">
        <f t="shared" si="0"/>
        <v>0.19666</v>
      </c>
      <c r="L21" s="322">
        <f t="shared" si="1"/>
        <v>0.72675759779999993</v>
      </c>
      <c r="M21" s="324">
        <f t="shared" si="2"/>
        <v>0.27324240220000007</v>
      </c>
    </row>
    <row r="22" spans="1:13">
      <c r="A22" s="319" t="s">
        <v>346</v>
      </c>
      <c r="B22" s="319" t="s">
        <v>347</v>
      </c>
      <c r="C22" s="319" t="str">
        <f>INDEX(Countries_Codes[Earning Premium Database],MATCH(B22,Countries_Codes[Country Code 3 digit],0))</f>
        <v>Europe &amp; Central Asia</v>
      </c>
      <c r="D22" s="319" t="str">
        <f>INDEX(Countries_Codes[Income level, World Bank (2024)],MATCH(B22,Countries_Codes[Country Code 3 digit],0))</f>
        <v>Upper-middle-income countries</v>
      </c>
      <c r="E22" s="319" t="s">
        <v>2328</v>
      </c>
      <c r="F22" s="319">
        <v>2023</v>
      </c>
      <c r="G22" s="320">
        <v>2.8980000000000002E-2</v>
      </c>
      <c r="H22" s="319" t="s">
        <v>2327</v>
      </c>
      <c r="I22" s="319" t="s">
        <v>2327</v>
      </c>
      <c r="J22" s="320" t="s">
        <v>2327</v>
      </c>
      <c r="K22" s="321">
        <f t="shared" si="0"/>
        <v>0.33085285714285717</v>
      </c>
      <c r="L22" s="322">
        <f t="shared" si="1"/>
        <v>0.64975525865714279</v>
      </c>
      <c r="M22" s="324">
        <f t="shared" si="2"/>
        <v>0.35024474134285721</v>
      </c>
    </row>
    <row r="23" spans="1:13">
      <c r="A23" s="319" t="s">
        <v>350</v>
      </c>
      <c r="B23" s="319" t="s">
        <v>351</v>
      </c>
      <c r="C23" s="319" t="str">
        <f>INDEX(Countries_Codes[Earning Premium Database],MATCH(B23,Countries_Codes[Country Code 3 digit],0))</f>
        <v>Latin America &amp; Caribbean</v>
      </c>
      <c r="D23" s="319" t="str">
        <f>INDEX(Countries_Codes[Income level, World Bank (2024)],MATCH(B23,Countries_Codes[Country Code 3 digit],0))</f>
        <v>Upper-middle-income countries</v>
      </c>
      <c r="E23" s="319" t="s">
        <v>2328</v>
      </c>
      <c r="F23" s="319">
        <v>2019</v>
      </c>
      <c r="G23" s="320">
        <v>5.7910000000000003E-2</v>
      </c>
      <c r="H23" s="319" t="s">
        <v>2327</v>
      </c>
      <c r="I23" s="319" t="s">
        <v>2327</v>
      </c>
      <c r="J23" s="320" t="s">
        <v>2327</v>
      </c>
      <c r="K23" s="321">
        <f t="shared" si="0"/>
        <v>0.59788384615384615</v>
      </c>
      <c r="L23" s="322">
        <f t="shared" si="1"/>
        <v>0.37882960737692306</v>
      </c>
      <c r="M23" s="324">
        <f t="shared" si="2"/>
        <v>0.62117039262307694</v>
      </c>
    </row>
    <row r="24" spans="1:13">
      <c r="A24" s="319" t="s">
        <v>692</v>
      </c>
      <c r="B24" s="319" t="s">
        <v>693</v>
      </c>
      <c r="C24" s="319" t="str">
        <f>INDEX(Countries_Codes[Earning Premium Database],MATCH(B24,Countries_Codes[Country Code 3 digit],0))</f>
        <v>Latin America &amp; Caribbean</v>
      </c>
      <c r="D24" s="319" t="str">
        <f>INDEX(Countries_Codes[Income level, World Bank (2024)],MATCH(B24,Countries_Codes[Country Code 3 digit],0))</f>
        <v>High-income countries</v>
      </c>
      <c r="E24" s="319" t="s">
        <v>2328</v>
      </c>
      <c r="F24" s="319">
        <v>2014</v>
      </c>
      <c r="G24" s="320">
        <v>7.3800000000000004E-2</v>
      </c>
      <c r="H24" s="319" t="s">
        <v>2327</v>
      </c>
      <c r="I24" s="319" t="s">
        <v>2327</v>
      </c>
      <c r="J24" s="320" t="s">
        <v>2327</v>
      </c>
      <c r="K24" s="321">
        <f t="shared" si="0"/>
        <v>0.37032500000000002</v>
      </c>
      <c r="L24" s="322">
        <f t="shared" si="1"/>
        <v>0.58320498499999995</v>
      </c>
      <c r="M24" s="324">
        <f t="shared" si="2"/>
        <v>0.41679501500000005</v>
      </c>
    </row>
    <row r="25" spans="1:13">
      <c r="A25" s="319" t="s">
        <v>2341</v>
      </c>
      <c r="B25" s="319" t="s">
        <v>357</v>
      </c>
      <c r="C25" s="319" t="str">
        <f>INDEX(Countries_Codes[Earning Premium Database],MATCH(B25,Countries_Codes[Country Code 3 digit],0))</f>
        <v>Latin America &amp; Caribbean</v>
      </c>
      <c r="D25" s="319" t="str">
        <f>INDEX(Countries_Codes[Income level, World Bank (2024)],MATCH(B25,Countries_Codes[Country Code 3 digit],0))</f>
        <v>Lower-middle-income countries</v>
      </c>
      <c r="E25" s="319" t="s">
        <v>2342</v>
      </c>
      <c r="F25" s="319">
        <v>2023</v>
      </c>
      <c r="G25" s="320">
        <v>2.5530000000000001E-2</v>
      </c>
      <c r="H25" s="319" t="s">
        <v>2342</v>
      </c>
      <c r="I25" s="319">
        <v>2023</v>
      </c>
      <c r="J25" s="320">
        <v>0.84471000000000007</v>
      </c>
      <c r="K25" s="321">
        <f t="shared" si="0"/>
        <v>0.84471000000000007</v>
      </c>
      <c r="L25" s="322">
        <f t="shared" si="1"/>
        <v>0.15132544629999992</v>
      </c>
      <c r="M25" s="324">
        <f t="shared" si="2"/>
        <v>0.84867455370000011</v>
      </c>
    </row>
    <row r="26" spans="1:13">
      <c r="A26" s="319" t="s">
        <v>362</v>
      </c>
      <c r="B26" s="319" t="s">
        <v>363</v>
      </c>
      <c r="C26" s="319" t="str">
        <f>INDEX(Countries_Codes[Earning Premium Database],MATCH(B26,Countries_Codes[Country Code 3 digit],0))</f>
        <v>Latin America &amp; Caribbean</v>
      </c>
      <c r="D26" s="319" t="str">
        <f>INDEX(Countries_Codes[Income level, World Bank (2024)],MATCH(B26,Countries_Codes[Country Code 3 digit],0))</f>
        <v>Upper-middle-income countries</v>
      </c>
      <c r="E26" s="319" t="s">
        <v>2343</v>
      </c>
      <c r="F26" s="319">
        <v>2024</v>
      </c>
      <c r="G26" s="320">
        <v>5.1810000000000002E-2</v>
      </c>
      <c r="H26" s="319" t="s">
        <v>2343</v>
      </c>
      <c r="I26" s="319">
        <v>2024</v>
      </c>
      <c r="J26" s="320">
        <v>0.36503999999999998</v>
      </c>
      <c r="K26" s="321">
        <f t="shared" si="0"/>
        <v>0.36503999999999998</v>
      </c>
      <c r="L26" s="322">
        <f t="shared" si="1"/>
        <v>0.60206272239999992</v>
      </c>
      <c r="M26" s="324">
        <f t="shared" si="2"/>
        <v>0.39793727760000008</v>
      </c>
    </row>
    <row r="27" spans="1:13">
      <c r="A27" s="319" t="s">
        <v>344</v>
      </c>
      <c r="B27" s="319" t="s">
        <v>345</v>
      </c>
      <c r="C27" s="319" t="str">
        <f>INDEX(Countries_Codes[Earning Premium Database],MATCH(B27,Countries_Codes[Country Code 3 digit],0))</f>
        <v>Latin America &amp; Caribbean</v>
      </c>
      <c r="D27" s="319" t="str">
        <f>INDEX(Countries_Codes[Income level, World Bank (2024)],MATCH(B27,Countries_Codes[Country Code 3 digit],0))</f>
        <v>High-income countries</v>
      </c>
      <c r="E27" s="319" t="s">
        <v>2328</v>
      </c>
      <c r="F27" s="319">
        <v>2023</v>
      </c>
      <c r="G27" s="320">
        <v>5.1119999999999999E-2</v>
      </c>
      <c r="H27" s="319" t="s">
        <v>2344</v>
      </c>
      <c r="I27" s="319">
        <v>2016</v>
      </c>
      <c r="J27" s="320">
        <v>0.61973999999999996</v>
      </c>
      <c r="K27" s="321">
        <f t="shared" si="0"/>
        <v>0.61973999999999996</v>
      </c>
      <c r="L27" s="322">
        <f t="shared" si="1"/>
        <v>0.36082110880000001</v>
      </c>
      <c r="M27" s="324">
        <f t="shared" si="2"/>
        <v>0.63917889120000004</v>
      </c>
    </row>
    <row r="28" spans="1:13">
      <c r="A28" s="319" t="s">
        <v>364</v>
      </c>
      <c r="B28" s="319" t="s">
        <v>365</v>
      </c>
      <c r="C28" s="319" t="str">
        <f>INDEX(Countries_Codes[Earning Premium Database],MATCH(B28,Countries_Codes[Country Code 3 digit],0))</f>
        <v>East Asia &amp; Pacific</v>
      </c>
      <c r="D28" s="319" t="str">
        <f>INDEX(Countries_Codes[Income level, World Bank (2024)],MATCH(B28,Countries_Codes[Country Code 3 digit],0))</f>
        <v>High-income countries</v>
      </c>
      <c r="E28" s="319" t="s">
        <v>2328</v>
      </c>
      <c r="F28" s="319">
        <v>2023</v>
      </c>
      <c r="G28" s="320">
        <v>3.7839999999999999E-2</v>
      </c>
      <c r="H28" s="319" t="s">
        <v>2328</v>
      </c>
      <c r="I28" s="319">
        <v>2023</v>
      </c>
      <c r="J28" s="320">
        <v>0.28475</v>
      </c>
      <c r="K28" s="321">
        <f t="shared" si="0"/>
        <v>0.28475</v>
      </c>
      <c r="L28" s="322">
        <f t="shared" si="1"/>
        <v>0.68818493999999997</v>
      </c>
      <c r="M28" s="324">
        <f t="shared" si="2"/>
        <v>0.31181506000000003</v>
      </c>
    </row>
    <row r="29" spans="1:13">
      <c r="A29" s="319" t="s">
        <v>354</v>
      </c>
      <c r="B29" s="319" t="s">
        <v>355</v>
      </c>
      <c r="C29" s="319" t="str">
        <f>INDEX(Countries_Codes[Earning Premium Database],MATCH(B29,Countries_Codes[Country Code 3 digit],0))</f>
        <v>South Asia</v>
      </c>
      <c r="D29" s="319" t="str">
        <f>INDEX(Countries_Codes[Income level, World Bank (2024)],MATCH(B29,Countries_Codes[Country Code 3 digit],0))</f>
        <v>Lower-middle-income countries</v>
      </c>
      <c r="E29" s="319" t="s">
        <v>2328</v>
      </c>
      <c r="F29" s="319">
        <v>2024</v>
      </c>
      <c r="G29" s="320">
        <v>1.554E-2</v>
      </c>
      <c r="H29" s="319" t="s">
        <v>2327</v>
      </c>
      <c r="I29" s="319" t="s">
        <v>2327</v>
      </c>
      <c r="J29" s="320" t="s">
        <v>2327</v>
      </c>
      <c r="K29" s="321">
        <f t="shared" si="0"/>
        <v>0.81081800000000004</v>
      </c>
      <c r="L29" s="322">
        <f t="shared" si="1"/>
        <v>0.18624211171999996</v>
      </c>
      <c r="M29" s="324">
        <f t="shared" si="2"/>
        <v>0.81375788828000006</v>
      </c>
    </row>
    <row r="30" spans="1:13">
      <c r="A30" s="319" t="s">
        <v>360</v>
      </c>
      <c r="B30" s="319" t="s">
        <v>361</v>
      </c>
      <c r="C30" s="319" t="str">
        <f>INDEX(Countries_Codes[Earning Premium Database],MATCH(B30,Countries_Codes[Country Code 3 digit],0))</f>
        <v>Sub-Saharan Africa</v>
      </c>
      <c r="D30" s="319" t="str">
        <f>INDEX(Countries_Codes[Income level, World Bank (2024)],MATCH(B30,Countries_Codes[Country Code 3 digit],0))</f>
        <v>Upper-middle-income countries</v>
      </c>
      <c r="E30" s="319" t="s">
        <v>2345</v>
      </c>
      <c r="F30" s="319">
        <v>2023</v>
      </c>
      <c r="G30" s="320">
        <v>0.19261</v>
      </c>
      <c r="H30" s="319" t="s">
        <v>2345</v>
      </c>
      <c r="I30" s="319">
        <v>2023</v>
      </c>
      <c r="J30" s="320">
        <v>0.76136999999999999</v>
      </c>
      <c r="K30" s="321">
        <f t="shared" si="0"/>
        <v>0.76136999999999999</v>
      </c>
      <c r="L30" s="322">
        <f t="shared" si="1"/>
        <v>0.19266747570000001</v>
      </c>
      <c r="M30" s="324">
        <f t="shared" si="2"/>
        <v>0.80733252430000002</v>
      </c>
    </row>
    <row r="31" spans="1:13">
      <c r="A31" s="319" t="s">
        <v>378</v>
      </c>
      <c r="B31" s="319" t="s">
        <v>379</v>
      </c>
      <c r="C31" s="319" t="str">
        <f>INDEX(Countries_Codes[Earning Premium Database],MATCH(B31,Countries_Codes[Country Code 3 digit],0))</f>
        <v>North America</v>
      </c>
      <c r="D31" s="319" t="str">
        <f>INDEX(Countries_Codes[Income level, World Bank (2024)],MATCH(B31,Countries_Codes[Country Code 3 digit],0))</f>
        <v>High-income countries</v>
      </c>
      <c r="E31" s="319" t="s">
        <v>2328</v>
      </c>
      <c r="F31" s="319">
        <v>2024</v>
      </c>
      <c r="G31" s="320">
        <v>5.2229999999999999E-2</v>
      </c>
      <c r="H31" s="319" t="s">
        <v>2327</v>
      </c>
      <c r="I31" s="319" t="s">
        <v>2327</v>
      </c>
      <c r="J31" s="320" t="s">
        <v>2327</v>
      </c>
      <c r="K31" s="321">
        <f t="shared" si="0"/>
        <v>0.10858720930232556</v>
      </c>
      <c r="L31" s="322">
        <f t="shared" si="1"/>
        <v>0.84485430063953493</v>
      </c>
      <c r="M31" s="324">
        <f t="shared" si="2"/>
        <v>0.15514569936046507</v>
      </c>
    </row>
    <row r="32" spans="1:13">
      <c r="A32" s="319" t="s">
        <v>630</v>
      </c>
      <c r="B32" s="319" t="s">
        <v>631</v>
      </c>
      <c r="C32" s="319" t="str">
        <f>INDEX(Countries_Codes[Earning Premium Database],MATCH(B32,Countries_Codes[Country Code 3 digit],0))</f>
        <v>Europe &amp; Central Asia</v>
      </c>
      <c r="D32" s="319" t="str">
        <f>INDEX(Countries_Codes[Income level, World Bank (2024)],MATCH(B32,Countries_Codes[Country Code 3 digit],0))</f>
        <v>High-income countries</v>
      </c>
      <c r="E32" s="319" t="s">
        <v>2328</v>
      </c>
      <c r="F32" s="319">
        <v>2024</v>
      </c>
      <c r="G32" s="320">
        <v>3.8350000000000002E-2</v>
      </c>
      <c r="H32" s="319" t="s">
        <v>2334</v>
      </c>
      <c r="I32" s="319">
        <v>2022</v>
      </c>
      <c r="J32" s="320">
        <v>8.8299999999999993E-3</v>
      </c>
      <c r="K32" s="321">
        <f t="shared" si="0"/>
        <v>8.8299999999999993E-3</v>
      </c>
      <c r="L32" s="322">
        <f t="shared" si="1"/>
        <v>0.95315863050000005</v>
      </c>
      <c r="M32" s="324">
        <f t="shared" si="2"/>
        <v>4.6841369499999952E-2</v>
      </c>
    </row>
    <row r="33" spans="1:13">
      <c r="A33" s="319" t="s">
        <v>384</v>
      </c>
      <c r="B33" s="319" t="s">
        <v>385</v>
      </c>
      <c r="C33" s="319" t="str">
        <f>INDEX(Countries_Codes[Earning Premium Database],MATCH(B33,Countries_Codes[Country Code 3 digit],0))</f>
        <v>Latin America &amp; Caribbean</v>
      </c>
      <c r="D33" s="319" t="str">
        <f>INDEX(Countries_Codes[Income level, World Bank (2024)],MATCH(B33,Countries_Codes[Country Code 3 digit],0))</f>
        <v>High-income countries</v>
      </c>
      <c r="E33" s="319" t="s">
        <v>2346</v>
      </c>
      <c r="F33" s="319">
        <v>2024</v>
      </c>
      <c r="G33" s="320">
        <v>7.714E-2</v>
      </c>
      <c r="H33" s="319" t="s">
        <v>2346</v>
      </c>
      <c r="I33" s="319">
        <v>2024</v>
      </c>
      <c r="J33" s="320">
        <v>0.27457999999999999</v>
      </c>
      <c r="K33" s="321">
        <f t="shared" si="0"/>
        <v>0.27457999999999999</v>
      </c>
      <c r="L33" s="322">
        <f t="shared" si="1"/>
        <v>0.66946110120000002</v>
      </c>
      <c r="M33" s="324">
        <f t="shared" si="2"/>
        <v>0.33053889879999998</v>
      </c>
    </row>
    <row r="34" spans="1:13">
      <c r="A34" s="319" t="s">
        <v>386</v>
      </c>
      <c r="B34" s="319" t="s">
        <v>387</v>
      </c>
      <c r="C34" s="319" t="str">
        <f>INDEX(Countries_Codes[Earning Premium Database],MATCH(B34,Countries_Codes[Country Code 3 digit],0))</f>
        <v>East Asia &amp; Pacific</v>
      </c>
      <c r="D34" s="319" t="str">
        <f>INDEX(Countries_Codes[Income level, World Bank (2024)],MATCH(B34,Countries_Codes[Country Code 3 digit],0))</f>
        <v>Upper-middle-income countries</v>
      </c>
      <c r="E34" s="319" t="s">
        <v>2330</v>
      </c>
      <c r="F34" s="319">
        <v>2000</v>
      </c>
      <c r="G34" s="320">
        <v>2.579E-2</v>
      </c>
      <c r="H34" s="319" t="s">
        <v>2327</v>
      </c>
      <c r="I34" s="319" t="s">
        <v>2327</v>
      </c>
      <c r="J34" s="320" t="s">
        <v>2327</v>
      </c>
      <c r="K34" s="321">
        <f t="shared" ref="K34:K65" si="3">IF(J34="",IFERROR(AVERAGEIFS($J$2:$J$178,$J$2:$J$178,"&lt;&gt;""",$C$2:$C$178,$C34,$D$2:$D$178,D34),AVERAGEIFS($J$2:$J$178,$J$2:$J$178,"&lt;&gt;""",$D$2:$D$178,D34)),J34)</f>
        <v>0.56334800000000007</v>
      </c>
      <c r="L34" s="322">
        <f t="shared" si="1"/>
        <v>0.42539074491999995</v>
      </c>
      <c r="M34" s="324">
        <f t="shared" si="2"/>
        <v>0.57460925508000005</v>
      </c>
    </row>
    <row r="35" spans="1:13">
      <c r="A35" s="319" t="s">
        <v>2347</v>
      </c>
      <c r="B35" s="319" t="s">
        <v>399</v>
      </c>
      <c r="C35" s="319" t="str">
        <f>INDEX(Countries_Codes[Earning Premium Database],MATCH(B35,Countries_Codes[Country Code 3 digit],0))</f>
        <v>Sub-Saharan Africa</v>
      </c>
      <c r="D35" s="319" t="str">
        <f>INDEX(Countries_Codes[Income level, World Bank (2024)],MATCH(B35,Countries_Codes[Country Code 3 digit],0))</f>
        <v>Lower-middle-income countries</v>
      </c>
      <c r="E35" s="319" t="s">
        <v>2348</v>
      </c>
      <c r="F35" s="319">
        <v>2022</v>
      </c>
      <c r="G35" s="320">
        <v>1.9140000000000001E-2</v>
      </c>
      <c r="H35" s="319" t="s">
        <v>2348</v>
      </c>
      <c r="I35" s="319">
        <v>2022</v>
      </c>
      <c r="J35" s="320">
        <v>0.92125000000000001</v>
      </c>
      <c r="K35" s="321">
        <f t="shared" si="3"/>
        <v>0.92125000000000001</v>
      </c>
      <c r="L35" s="322">
        <f t="shared" si="1"/>
        <v>7.7242724999999984E-2</v>
      </c>
      <c r="M35" s="324">
        <f t="shared" si="2"/>
        <v>0.92275727500000004</v>
      </c>
    </row>
    <row r="36" spans="1:13">
      <c r="A36" s="319" t="s">
        <v>376</v>
      </c>
      <c r="B36" s="319" t="s">
        <v>377</v>
      </c>
      <c r="C36" s="319" t="str">
        <f>INDEX(Countries_Codes[Earning Premium Database],MATCH(B36,Countries_Codes[Country Code 3 digit],0))</f>
        <v>Sub-Saharan Africa</v>
      </c>
      <c r="D36" s="319" t="str">
        <f>INDEX(Countries_Codes[Income level, World Bank (2024)],MATCH(B36,Countries_Codes[Country Code 3 digit],0))</f>
        <v>Lower-middle-income countries</v>
      </c>
      <c r="E36" s="319" t="s">
        <v>2349</v>
      </c>
      <c r="F36" s="319">
        <v>2021</v>
      </c>
      <c r="G36" s="320">
        <v>2.6269999999999998E-2</v>
      </c>
      <c r="H36" s="319" t="s">
        <v>2349</v>
      </c>
      <c r="I36" s="319">
        <v>2014</v>
      </c>
      <c r="J36" s="320">
        <v>0.87099000000000004</v>
      </c>
      <c r="K36" s="321">
        <f t="shared" si="3"/>
        <v>0.87099000000000004</v>
      </c>
      <c r="L36" s="322">
        <f t="shared" si="1"/>
        <v>0.12562090729999995</v>
      </c>
      <c r="M36" s="324">
        <f t="shared" si="2"/>
        <v>0.87437909270000003</v>
      </c>
    </row>
    <row r="37" spans="1:13">
      <c r="A37" s="319" t="s">
        <v>2350</v>
      </c>
      <c r="B37" s="319" t="s">
        <v>393</v>
      </c>
      <c r="C37" s="319" t="str">
        <f>INDEX(Countries_Codes[Earning Premium Database],MATCH(B37,Countries_Codes[Country Code 3 digit],0))</f>
        <v>Sub-Saharan Africa</v>
      </c>
      <c r="D37" s="319" t="str">
        <f>INDEX(Countries_Codes[Income level, World Bank (2024)],MATCH(B37,Countries_Codes[Country Code 3 digit],0))</f>
        <v>Low-income countries</v>
      </c>
      <c r="E37" s="319" t="s">
        <v>2351</v>
      </c>
      <c r="F37" s="319">
        <v>2020</v>
      </c>
      <c r="G37" s="320">
        <v>1.397E-2</v>
      </c>
      <c r="H37" s="319" t="s">
        <v>2352</v>
      </c>
      <c r="I37" s="319">
        <v>2012</v>
      </c>
      <c r="J37" s="320">
        <v>0.97343999999999997</v>
      </c>
      <c r="K37" s="321">
        <f t="shared" si="3"/>
        <v>0.97343999999999997</v>
      </c>
      <c r="L37" s="322">
        <f t="shared" si="1"/>
        <v>2.6188956800000027E-2</v>
      </c>
      <c r="M37" s="324">
        <f t="shared" si="2"/>
        <v>0.9738110432</v>
      </c>
    </row>
    <row r="38" spans="1:13">
      <c r="A38" s="319" t="s">
        <v>2161</v>
      </c>
      <c r="B38" s="319" t="s">
        <v>395</v>
      </c>
      <c r="C38" s="319" t="str">
        <f>INDEX(Countries_Codes[Earning Premium Database],MATCH(B38,Countries_Codes[Country Code 3 digit],0))</f>
        <v>Sub-Saharan Africa</v>
      </c>
      <c r="D38" s="319" t="str">
        <f>INDEX(Countries_Codes[Income level, World Bank (2024)],MATCH(B38,Countries_Codes[Country Code 3 digit],0))</f>
        <v>Lower-middle-income countries</v>
      </c>
      <c r="E38" s="319" t="s">
        <v>2329</v>
      </c>
      <c r="F38" s="319">
        <v>2009</v>
      </c>
      <c r="G38" s="320">
        <v>0.21631</v>
      </c>
      <c r="H38" s="319" t="s">
        <v>2329</v>
      </c>
      <c r="I38" s="319">
        <v>2009</v>
      </c>
      <c r="J38" s="320">
        <v>0.85278000000000009</v>
      </c>
      <c r="K38" s="321">
        <f t="shared" si="3"/>
        <v>0.85278000000000009</v>
      </c>
      <c r="L38" s="322">
        <f t="shared" si="1"/>
        <v>0.11537484179999993</v>
      </c>
      <c r="M38" s="324">
        <f t="shared" si="2"/>
        <v>0.88462515820000009</v>
      </c>
    </row>
    <row r="39" spans="1:13">
      <c r="A39" s="319" t="s">
        <v>388</v>
      </c>
      <c r="B39" s="319" t="s">
        <v>389</v>
      </c>
      <c r="C39" s="319" t="str">
        <f>INDEX(Countries_Codes[Earning Premium Database],MATCH(B39,Countries_Codes[Country Code 3 digit],0))</f>
        <v>Latin America &amp; Caribbean</v>
      </c>
      <c r="D39" s="319" t="str">
        <f>INDEX(Countries_Codes[Income level, World Bank (2024)],MATCH(B39,Countries_Codes[Country Code 3 digit],0))</f>
        <v>Upper-middle-income countries</v>
      </c>
      <c r="E39" s="319" t="s">
        <v>2353</v>
      </c>
      <c r="F39" s="319">
        <v>2024</v>
      </c>
      <c r="G39" s="320">
        <v>8.0719999999999986E-2</v>
      </c>
      <c r="H39" s="319" t="s">
        <v>2353</v>
      </c>
      <c r="I39" s="319">
        <v>2024</v>
      </c>
      <c r="J39" s="320">
        <v>0.56142999999999998</v>
      </c>
      <c r="K39" s="321">
        <f t="shared" si="3"/>
        <v>0.56142999999999998</v>
      </c>
      <c r="L39" s="322">
        <f t="shared" si="1"/>
        <v>0.40316862959999999</v>
      </c>
      <c r="M39" s="324">
        <f t="shared" si="2"/>
        <v>0.59683137040000001</v>
      </c>
    </row>
    <row r="40" spans="1:13">
      <c r="A40" s="319" t="s">
        <v>372</v>
      </c>
      <c r="B40" s="319" t="s">
        <v>373</v>
      </c>
      <c r="C40" s="319" t="str">
        <f>INDEX(Countries_Codes[Earning Premium Database],MATCH(B40,Countries_Codes[Country Code 3 digit],0))</f>
        <v>Sub-Saharan Africa</v>
      </c>
      <c r="D40" s="319" t="str">
        <f>INDEX(Countries_Codes[Income level, World Bank (2024)],MATCH(B40,Countries_Codes[Country Code 3 digit],0))</f>
        <v>Upper-middle-income countries</v>
      </c>
      <c r="E40" s="319" t="s">
        <v>2355</v>
      </c>
      <c r="F40" s="319">
        <v>2019</v>
      </c>
      <c r="G40" s="320">
        <v>5.4199999999999998E-2</v>
      </c>
      <c r="H40" s="319" t="s">
        <v>2355</v>
      </c>
      <c r="I40" s="319">
        <v>2015</v>
      </c>
      <c r="J40" s="320">
        <v>0.63819000000000004</v>
      </c>
      <c r="K40" s="321">
        <f t="shared" si="3"/>
        <v>0.63819000000000004</v>
      </c>
      <c r="L40" s="322">
        <f t="shared" si="1"/>
        <v>0.34219989799999995</v>
      </c>
      <c r="M40" s="324">
        <f t="shared" si="2"/>
        <v>0.65780010200000005</v>
      </c>
    </row>
    <row r="41" spans="1:13">
      <c r="A41" s="319" t="s">
        <v>396</v>
      </c>
      <c r="B41" s="319" t="s">
        <v>397</v>
      </c>
      <c r="C41" s="319" t="str">
        <f>INDEX(Countries_Codes[Earning Premium Database],MATCH(B41,Countries_Codes[Country Code 3 digit],0))</f>
        <v>Latin America &amp; Caribbean</v>
      </c>
      <c r="D41" s="319" t="str">
        <f>INDEX(Countries_Codes[Income level, World Bank (2024)],MATCH(B41,Countries_Codes[Country Code 3 digit],0))</f>
        <v>High-income countries</v>
      </c>
      <c r="E41" s="319" t="s">
        <v>2342</v>
      </c>
      <c r="F41" s="319">
        <v>2024</v>
      </c>
      <c r="G41" s="320">
        <v>5.1459999999999999E-2</v>
      </c>
      <c r="H41" s="319" t="s">
        <v>2342</v>
      </c>
      <c r="I41" s="319">
        <v>2024</v>
      </c>
      <c r="J41" s="320">
        <v>0.37375999999999998</v>
      </c>
      <c r="K41" s="321">
        <f t="shared" si="3"/>
        <v>0.37375999999999998</v>
      </c>
      <c r="L41" s="322">
        <f t="shared" si="1"/>
        <v>0.59401368960000001</v>
      </c>
      <c r="M41" s="324">
        <f t="shared" si="2"/>
        <v>0.40598631039999999</v>
      </c>
    </row>
    <row r="42" spans="1:13">
      <c r="A42" s="319" t="s">
        <v>400</v>
      </c>
      <c r="B42" s="319" t="s">
        <v>401</v>
      </c>
      <c r="C42" s="319" t="str">
        <f>INDEX(Countries_Codes[Earning Premium Database],MATCH(B42,Countries_Codes[Country Code 3 digit],0))</f>
        <v>Latin America &amp; Caribbean</v>
      </c>
      <c r="D42" s="319" t="str">
        <f>INDEX(Countries_Codes[Income level, World Bank (2024)],MATCH(B42,Countries_Codes[Country Code 3 digit],0))</f>
        <v>Upper-middle-income countries</v>
      </c>
      <c r="E42" s="319" t="s">
        <v>2346</v>
      </c>
      <c r="F42" s="319">
        <v>2010</v>
      </c>
      <c r="G42" s="320">
        <v>1.9799999999999998E-2</v>
      </c>
      <c r="H42" s="319" t="s">
        <v>2327</v>
      </c>
      <c r="I42" s="319" t="s">
        <v>2327</v>
      </c>
      <c r="J42" s="320" t="s">
        <v>2327</v>
      </c>
      <c r="K42" s="321">
        <f t="shared" si="3"/>
        <v>0.59788384615384615</v>
      </c>
      <c r="L42" s="322">
        <f t="shared" si="1"/>
        <v>0.39415425399999998</v>
      </c>
      <c r="M42" s="324">
        <f t="shared" si="2"/>
        <v>0.60584574599999996</v>
      </c>
    </row>
    <row r="43" spans="1:13">
      <c r="A43" s="319" t="s">
        <v>694</v>
      </c>
      <c r="B43" s="319" t="s">
        <v>695</v>
      </c>
      <c r="C43" s="319" t="str">
        <f>INDEX(Countries_Codes[Earning Premium Database],MATCH(B43,Countries_Codes[Country Code 3 digit],0))</f>
        <v>Latin America &amp; Caribbean</v>
      </c>
      <c r="D43" s="319" t="str">
        <f>INDEX(Countries_Codes[Income level, World Bank (2024)],MATCH(B43,Countries_Codes[Country Code 3 digit],0))</f>
        <v>High-income countries</v>
      </c>
      <c r="E43" s="319" t="s">
        <v>2328</v>
      </c>
      <c r="F43" s="319">
        <v>2015</v>
      </c>
      <c r="G43" s="320">
        <v>3.4599999999999999E-2</v>
      </c>
      <c r="H43" s="319" t="s">
        <v>2327</v>
      </c>
      <c r="I43" s="319" t="s">
        <v>2327</v>
      </c>
      <c r="J43" s="320" t="s">
        <v>2327</v>
      </c>
      <c r="K43" s="321">
        <f t="shared" si="3"/>
        <v>0.37032500000000002</v>
      </c>
      <c r="L43" s="322">
        <f t="shared" si="1"/>
        <v>0.60788824500000005</v>
      </c>
      <c r="M43" s="324">
        <f t="shared" si="2"/>
        <v>0.39211175499999995</v>
      </c>
    </row>
    <row r="44" spans="1:13">
      <c r="A44" s="319" t="s">
        <v>402</v>
      </c>
      <c r="B44" s="319" t="s">
        <v>403</v>
      </c>
      <c r="C44" s="319" t="str">
        <f>INDEX(Countries_Codes[Earning Premium Database],MATCH(B44,Countries_Codes[Country Code 3 digit],0))</f>
        <v>Europe &amp; Central Asia</v>
      </c>
      <c r="D44" s="319" t="str">
        <f>INDEX(Countries_Codes[Income level, World Bank (2024)],MATCH(B44,Countries_Codes[Country Code 3 digit],0))</f>
        <v>High-income countries</v>
      </c>
      <c r="E44" s="319" t="s">
        <v>2328</v>
      </c>
      <c r="F44" s="319">
        <v>2024</v>
      </c>
      <c r="G44" s="320">
        <v>4.2999999999999997E-2</v>
      </c>
      <c r="H44" s="319" t="s">
        <v>2334</v>
      </c>
      <c r="I44" s="319">
        <v>2023</v>
      </c>
      <c r="J44" s="320">
        <v>1.8380000000000001E-2</v>
      </c>
      <c r="K44" s="321">
        <f t="shared" si="3"/>
        <v>1.8380000000000001E-2</v>
      </c>
      <c r="L44" s="322">
        <f t="shared" si="1"/>
        <v>0.93941034000000001</v>
      </c>
      <c r="M44" s="324">
        <f t="shared" si="2"/>
        <v>6.058965999999999E-2</v>
      </c>
    </row>
    <row r="45" spans="1:13">
      <c r="A45" s="319" t="s">
        <v>747</v>
      </c>
      <c r="B45" s="319" t="s">
        <v>405</v>
      </c>
      <c r="C45" s="319" t="str">
        <f>INDEX(Countries_Codes[Earning Premium Database],MATCH(B45,Countries_Codes[Country Code 3 digit],0))</f>
        <v>Europe &amp; Central Asia</v>
      </c>
      <c r="D45" s="319" t="str">
        <f>INDEX(Countries_Codes[Income level, World Bank (2024)],MATCH(B45,Countries_Codes[Country Code 3 digit],0))</f>
        <v>High-income countries</v>
      </c>
      <c r="E45" s="319" t="s">
        <v>2356</v>
      </c>
      <c r="F45" s="319">
        <v>2024</v>
      </c>
      <c r="G45" s="320">
        <v>2.2000000000000002E-2</v>
      </c>
      <c r="H45" s="319" t="s">
        <v>2334</v>
      </c>
      <c r="I45" s="319">
        <v>2023</v>
      </c>
      <c r="J45" s="320">
        <v>2.0240000000000001E-2</v>
      </c>
      <c r="K45" s="321">
        <f t="shared" si="3"/>
        <v>2.0240000000000001E-2</v>
      </c>
      <c r="L45" s="322">
        <f t="shared" si="1"/>
        <v>0.95820527999999994</v>
      </c>
      <c r="M45" s="324">
        <f t="shared" si="2"/>
        <v>4.1794720000000063E-2</v>
      </c>
    </row>
    <row r="46" spans="1:13">
      <c r="A46" s="319" t="s">
        <v>436</v>
      </c>
      <c r="B46" s="319" t="s">
        <v>437</v>
      </c>
      <c r="C46" s="319" t="str">
        <f>INDEX(Countries_Codes[Earning Premium Database],MATCH(B46,Countries_Codes[Country Code 3 digit],0))</f>
        <v>Europe &amp; Central Asia</v>
      </c>
      <c r="D46" s="319" t="str">
        <f>INDEX(Countries_Codes[Income level, World Bank (2024)],MATCH(B46,Countries_Codes[Country Code 3 digit],0))</f>
        <v>High-income countries</v>
      </c>
      <c r="E46" s="319" t="s">
        <v>2336</v>
      </c>
      <c r="F46" s="319">
        <v>2024</v>
      </c>
      <c r="G46" s="320">
        <v>0.03</v>
      </c>
      <c r="H46" s="319" t="s">
        <v>2334</v>
      </c>
      <c r="I46" s="319">
        <v>2021</v>
      </c>
      <c r="J46" s="320">
        <v>1.9939999999999999E-2</v>
      </c>
      <c r="K46" s="321">
        <f t="shared" si="3"/>
        <v>1.9939999999999999E-2</v>
      </c>
      <c r="L46" s="322">
        <f t="shared" si="1"/>
        <v>0.95065820000000001</v>
      </c>
      <c r="M46" s="324">
        <f t="shared" si="2"/>
        <v>4.9341799999999991E-2</v>
      </c>
    </row>
    <row r="47" spans="1:13">
      <c r="A47" s="319" t="s">
        <v>408</v>
      </c>
      <c r="B47" s="319" t="s">
        <v>409</v>
      </c>
      <c r="C47" s="319" t="str">
        <f>INDEX(Countries_Codes[Earning Premium Database],MATCH(B47,Countries_Codes[Country Code 3 digit],0))</f>
        <v>Middle East &amp; North Africa</v>
      </c>
      <c r="D47" s="319" t="str">
        <f>INDEX(Countries_Codes[Income level, World Bank (2024)],MATCH(B47,Countries_Codes[Country Code 3 digit],0))</f>
        <v>Lower-middle-income countries</v>
      </c>
      <c r="E47" s="319" t="s">
        <v>2357</v>
      </c>
      <c r="F47" s="319">
        <v>2017</v>
      </c>
      <c r="G47" s="320">
        <v>0.18388000000000002</v>
      </c>
      <c r="H47" s="319" t="s">
        <v>2357</v>
      </c>
      <c r="I47" s="319">
        <v>2017</v>
      </c>
      <c r="J47" s="320">
        <v>0.50517000000000001</v>
      </c>
      <c r="K47" s="321">
        <f t="shared" si="3"/>
        <v>0.50517000000000001</v>
      </c>
      <c r="L47" s="322">
        <f t="shared" si="1"/>
        <v>0.40384065959999998</v>
      </c>
      <c r="M47" s="324">
        <f t="shared" si="2"/>
        <v>0.59615934040000007</v>
      </c>
    </row>
    <row r="48" spans="1:13">
      <c r="A48" s="319" t="s">
        <v>406</v>
      </c>
      <c r="B48" s="319" t="s">
        <v>407</v>
      </c>
      <c r="C48" s="319" t="str">
        <f>INDEX(Countries_Codes[Earning Premium Database],MATCH(B48,Countries_Codes[Country Code 3 digit],0))</f>
        <v>Europe &amp; Central Asia</v>
      </c>
      <c r="D48" s="319" t="str">
        <f>INDEX(Countries_Codes[Income level, World Bank (2024)],MATCH(B48,Countries_Codes[Country Code 3 digit],0))</f>
        <v>High-income countries</v>
      </c>
      <c r="E48" s="319" t="s">
        <v>2336</v>
      </c>
      <c r="F48" s="319">
        <v>2024</v>
      </c>
      <c r="G48" s="320">
        <v>4.7E-2</v>
      </c>
      <c r="H48" s="319" t="s">
        <v>2334</v>
      </c>
      <c r="I48" s="319">
        <v>2019</v>
      </c>
      <c r="J48" s="320">
        <v>2.8149999999999998E-2</v>
      </c>
      <c r="K48" s="321">
        <f t="shared" si="3"/>
        <v>2.8149999999999998E-2</v>
      </c>
      <c r="L48" s="322">
        <f t="shared" si="1"/>
        <v>0.92617304999999994</v>
      </c>
      <c r="M48" s="324">
        <f t="shared" si="2"/>
        <v>7.3826950000000058E-2</v>
      </c>
    </row>
    <row r="49" spans="1:13">
      <c r="A49" s="319" t="s">
        <v>412</v>
      </c>
      <c r="B49" s="319" t="s">
        <v>413</v>
      </c>
      <c r="C49" s="319" t="str">
        <f>INDEX(Countries_Codes[Earning Premium Database],MATCH(B49,Countries_Codes[Country Code 3 digit],0))</f>
        <v>Latin America &amp; Caribbean</v>
      </c>
      <c r="D49" s="319" t="str">
        <f>INDEX(Countries_Codes[Income level, World Bank (2024)],MATCH(B49,Countries_Codes[Country Code 3 digit],0))</f>
        <v>Upper-middle-income countries</v>
      </c>
      <c r="E49" s="319" t="s">
        <v>2358</v>
      </c>
      <c r="F49" s="319">
        <v>2024</v>
      </c>
      <c r="G49" s="320">
        <v>3.8519999999999999E-2</v>
      </c>
      <c r="H49" s="319" t="s">
        <v>2358</v>
      </c>
      <c r="I49" s="319">
        <v>2024</v>
      </c>
      <c r="J49" s="320">
        <v>0.54707000000000006</v>
      </c>
      <c r="K49" s="321">
        <f t="shared" si="3"/>
        <v>0.54707000000000006</v>
      </c>
      <c r="L49" s="322">
        <f t="shared" si="1"/>
        <v>0.43548313639999997</v>
      </c>
      <c r="M49" s="324">
        <f t="shared" si="2"/>
        <v>0.56451686359999997</v>
      </c>
    </row>
    <row r="50" spans="1:13">
      <c r="A50" s="319" t="s">
        <v>323</v>
      </c>
      <c r="B50" s="319" t="s">
        <v>324</v>
      </c>
      <c r="C50" s="319" t="str">
        <f>INDEX(Countries_Codes[Earning Premium Database],MATCH(B50,Countries_Codes[Country Code 3 digit],0))</f>
        <v>Middle East &amp; North Africa</v>
      </c>
      <c r="D50" s="319" t="str">
        <f>INDEX(Countries_Codes[Income level, World Bank (2024)],MATCH(B50,Countries_Codes[Country Code 3 digit],0))</f>
        <v>Upper-middle-income countries</v>
      </c>
      <c r="E50" s="319" t="s">
        <v>2359</v>
      </c>
      <c r="F50" s="319">
        <v>2017</v>
      </c>
      <c r="G50" s="320">
        <v>9.0500000000000011E-2</v>
      </c>
      <c r="H50" s="319" t="s">
        <v>2327</v>
      </c>
      <c r="I50" s="319" t="s">
        <v>2327</v>
      </c>
      <c r="J50" s="320" t="s">
        <v>2327</v>
      </c>
      <c r="K50" s="321">
        <f t="shared" si="3"/>
        <v>0.67638999999999994</v>
      </c>
      <c r="L50" s="322">
        <f t="shared" si="1"/>
        <v>0.29432329500000004</v>
      </c>
      <c r="M50" s="324">
        <f t="shared" si="2"/>
        <v>0.7056767049999999</v>
      </c>
    </row>
    <row r="51" spans="1:13">
      <c r="A51" s="319" t="s">
        <v>414</v>
      </c>
      <c r="B51" s="319" t="s">
        <v>415</v>
      </c>
      <c r="C51" s="319" t="str">
        <f>INDEX(Countries_Codes[Earning Premium Database],MATCH(B51,Countries_Codes[Country Code 3 digit],0))</f>
        <v>Latin America &amp; Caribbean</v>
      </c>
      <c r="D51" s="319" t="str">
        <f>INDEX(Countries_Codes[Income level, World Bank (2024)],MATCH(B51,Countries_Codes[Country Code 3 digit],0))</f>
        <v>Upper-middle-income countries</v>
      </c>
      <c r="E51" s="319" t="s">
        <v>2360</v>
      </c>
      <c r="F51" s="319">
        <v>2024</v>
      </c>
      <c r="G51" s="320">
        <v>2.4660000000000001E-2</v>
      </c>
      <c r="H51" s="319" t="s">
        <v>2360</v>
      </c>
      <c r="I51" s="319">
        <v>2024</v>
      </c>
      <c r="J51" s="320">
        <v>0.68642999999999998</v>
      </c>
      <c r="K51" s="321">
        <f t="shared" si="3"/>
        <v>0.68642999999999998</v>
      </c>
      <c r="L51" s="322">
        <f t="shared" si="1"/>
        <v>0.30583736379999998</v>
      </c>
      <c r="M51" s="324">
        <f t="shared" si="2"/>
        <v>0.69416263619999996</v>
      </c>
    </row>
    <row r="52" spans="1:13">
      <c r="A52" s="319" t="s">
        <v>781</v>
      </c>
      <c r="B52" s="319" t="s">
        <v>417</v>
      </c>
      <c r="C52" s="319" t="str">
        <f>INDEX(Countries_Codes[Earning Premium Database],MATCH(B52,Countries_Codes[Country Code 3 digit],0))</f>
        <v>Middle East &amp; North Africa</v>
      </c>
      <c r="D52" s="319" t="str">
        <f>INDEX(Countries_Codes[Income level, World Bank (2024)],MATCH(B52,Countries_Codes[Country Code 3 digit],0))</f>
        <v>Lower-middle-income countries</v>
      </c>
      <c r="E52" s="319" t="s">
        <v>2356</v>
      </c>
      <c r="F52" s="319">
        <v>2023</v>
      </c>
      <c r="G52" s="320">
        <v>5.0410000000000003E-2</v>
      </c>
      <c r="H52" s="319" t="s">
        <v>2356</v>
      </c>
      <c r="I52" s="319">
        <v>2023</v>
      </c>
      <c r="J52" s="320">
        <v>0.71329999999999993</v>
      </c>
      <c r="K52" s="321">
        <f t="shared" si="3"/>
        <v>0.71329999999999993</v>
      </c>
      <c r="L52" s="322">
        <f t="shared" si="1"/>
        <v>0.27224745300000008</v>
      </c>
      <c r="M52" s="324">
        <f t="shared" si="2"/>
        <v>0.72775254699999992</v>
      </c>
    </row>
    <row r="53" spans="1:13">
      <c r="A53" s="319" t="s">
        <v>612</v>
      </c>
      <c r="B53" s="319" t="s">
        <v>613</v>
      </c>
      <c r="C53" s="319" t="str">
        <f>INDEX(Countries_Codes[Earning Premium Database],MATCH(B53,Countries_Codes[Country Code 3 digit],0))</f>
        <v>Europe &amp; Central Asia</v>
      </c>
      <c r="D53" s="319" t="str">
        <f>INDEX(Countries_Codes[Income level, World Bank (2024)],MATCH(B53,Countries_Codes[Country Code 3 digit],0))</f>
        <v>High-income countries</v>
      </c>
      <c r="E53" s="319" t="s">
        <v>2336</v>
      </c>
      <c r="F53" s="319">
        <v>2024</v>
      </c>
      <c r="G53" s="320">
        <v>0.10199999999999999</v>
      </c>
      <c r="H53" s="319" t="s">
        <v>2334</v>
      </c>
      <c r="I53" s="319">
        <v>2023</v>
      </c>
      <c r="J53" s="320">
        <v>1.9820000000000001E-2</v>
      </c>
      <c r="K53" s="321">
        <f t="shared" si="3"/>
        <v>1.9820000000000001E-2</v>
      </c>
      <c r="L53" s="322">
        <f t="shared" si="1"/>
        <v>0.88020164000000012</v>
      </c>
      <c r="M53" s="324">
        <f t="shared" si="2"/>
        <v>0.11979835999999988</v>
      </c>
    </row>
    <row r="54" spans="1:13">
      <c r="A54" s="319" t="s">
        <v>422</v>
      </c>
      <c r="B54" s="319" t="s">
        <v>423</v>
      </c>
      <c r="C54" s="319" t="str">
        <f>INDEX(Countries_Codes[Earning Premium Database],MATCH(B54,Countries_Codes[Country Code 3 digit],0))</f>
        <v>Europe &amp; Central Asia</v>
      </c>
      <c r="D54" s="319" t="str">
        <f>INDEX(Countries_Codes[Income level, World Bank (2024)],MATCH(B54,Countries_Codes[Country Code 3 digit],0))</f>
        <v>High-income countries</v>
      </c>
      <c r="E54" s="319" t="s">
        <v>2328</v>
      </c>
      <c r="F54" s="319">
        <v>2024</v>
      </c>
      <c r="G54" s="320">
        <v>6.5000000000000002E-2</v>
      </c>
      <c r="H54" s="319" t="s">
        <v>2334</v>
      </c>
      <c r="I54" s="319">
        <v>2023</v>
      </c>
      <c r="J54" s="320">
        <v>2.1700000000000001E-2</v>
      </c>
      <c r="K54" s="321">
        <f t="shared" si="3"/>
        <v>2.1700000000000001E-2</v>
      </c>
      <c r="L54" s="322">
        <f t="shared" si="1"/>
        <v>0.91471049999999998</v>
      </c>
      <c r="M54" s="324">
        <f t="shared" si="2"/>
        <v>8.5289500000000018E-2</v>
      </c>
    </row>
    <row r="55" spans="1:13">
      <c r="A55" s="319" t="s">
        <v>424</v>
      </c>
      <c r="B55" s="319" t="s">
        <v>425</v>
      </c>
      <c r="C55" s="319" t="str">
        <f>INDEX(Countries_Codes[Earning Premium Database],MATCH(B55,Countries_Codes[Country Code 3 digit],0))</f>
        <v>Sub-Saharan Africa</v>
      </c>
      <c r="D55" s="319" t="str">
        <f>INDEX(Countries_Codes[Income level, World Bank (2024)],MATCH(B55,Countries_Codes[Country Code 3 digit],0))</f>
        <v>Low-income countries</v>
      </c>
      <c r="E55" s="319" t="s">
        <v>2361</v>
      </c>
      <c r="F55" s="319">
        <v>2021</v>
      </c>
      <c r="G55" s="320">
        <v>3.0929999999999999E-2</v>
      </c>
      <c r="H55" s="319" t="s">
        <v>2361</v>
      </c>
      <c r="I55" s="319">
        <v>2021</v>
      </c>
      <c r="J55" s="320">
        <v>0.85211999999999999</v>
      </c>
      <c r="K55" s="321">
        <f t="shared" si="3"/>
        <v>0.85211999999999999</v>
      </c>
      <c r="L55" s="322">
        <f t="shared" si="1"/>
        <v>0.1433060716</v>
      </c>
      <c r="M55" s="324">
        <f t="shared" si="2"/>
        <v>0.85669392840000003</v>
      </c>
    </row>
    <row r="56" spans="1:13">
      <c r="A56" s="319" t="s">
        <v>428</v>
      </c>
      <c r="B56" s="319" t="s">
        <v>429</v>
      </c>
      <c r="C56" s="319" t="str">
        <f>INDEX(Countries_Codes[Earning Premium Database],MATCH(B56,Countries_Codes[Country Code 3 digit],0))</f>
        <v>Europe &amp; Central Asia</v>
      </c>
      <c r="D56" s="319" t="str">
        <f>INDEX(Countries_Codes[Income level, World Bank (2024)],MATCH(B56,Countries_Codes[Country Code 3 digit],0))</f>
        <v>High-income countries</v>
      </c>
      <c r="E56" s="319" t="s">
        <v>2336</v>
      </c>
      <c r="F56" s="319">
        <v>2024</v>
      </c>
      <c r="G56" s="320">
        <v>7.0999999999999994E-2</v>
      </c>
      <c r="H56" s="319" t="s">
        <v>2334</v>
      </c>
      <c r="I56" s="319">
        <v>2023</v>
      </c>
      <c r="J56" s="320">
        <v>2.147E-2</v>
      </c>
      <c r="K56" s="321">
        <f t="shared" si="3"/>
        <v>2.147E-2</v>
      </c>
      <c r="L56" s="322">
        <f t="shared" si="1"/>
        <v>0.90905437000000011</v>
      </c>
      <c r="M56" s="324">
        <f t="shared" si="2"/>
        <v>9.0945629999999889E-2</v>
      </c>
    </row>
    <row r="57" spans="1:13">
      <c r="A57" s="319" t="s">
        <v>426</v>
      </c>
      <c r="B57" s="319" t="s">
        <v>427</v>
      </c>
      <c r="C57" s="319" t="str">
        <f>INDEX(Countries_Codes[Earning Premium Database],MATCH(B57,Countries_Codes[Country Code 3 digit],0))</f>
        <v>East Asia &amp; Pacific</v>
      </c>
      <c r="D57" s="319" t="str">
        <f>INDEX(Countries_Codes[Income level, World Bank (2024)],MATCH(B57,Countries_Codes[Country Code 3 digit],0))</f>
        <v>Upper-middle-income countries</v>
      </c>
      <c r="E57" s="319" t="s">
        <v>2362</v>
      </c>
      <c r="F57" s="319">
        <v>2016</v>
      </c>
      <c r="G57" s="320">
        <v>2.2179999999999998E-2</v>
      </c>
      <c r="H57" s="319" t="s">
        <v>2362</v>
      </c>
      <c r="I57" s="319">
        <v>2016</v>
      </c>
      <c r="J57" s="320">
        <v>0.43642000000000003</v>
      </c>
      <c r="K57" s="321">
        <f t="shared" si="3"/>
        <v>0.43642000000000003</v>
      </c>
      <c r="L57" s="322">
        <f t="shared" si="1"/>
        <v>0.55107979559999998</v>
      </c>
      <c r="M57" s="324">
        <f t="shared" si="2"/>
        <v>0.44892020440000002</v>
      </c>
    </row>
    <row r="58" spans="1:13">
      <c r="A58" s="319" t="s">
        <v>55</v>
      </c>
      <c r="B58" s="319" t="s">
        <v>56</v>
      </c>
      <c r="C58" s="319" t="str">
        <f>INDEX(Countries_Codes[Earning Premium Database],MATCH(B58,Countries_Codes[Country Code 3 digit],0))</f>
        <v>Europe &amp; Central Asia</v>
      </c>
      <c r="D58" s="319" t="str">
        <f>INDEX(Countries_Codes[Income level, World Bank (2024)],MATCH(B58,Countries_Codes[Country Code 3 digit],0))</f>
        <v>High-income countries</v>
      </c>
      <c r="E58" s="319" t="s">
        <v>2329</v>
      </c>
      <c r="F58" s="319">
        <v>2024</v>
      </c>
      <c r="G58" s="320">
        <v>0.06</v>
      </c>
      <c r="H58" s="319" t="s">
        <v>2334</v>
      </c>
      <c r="I58" s="319">
        <v>2023</v>
      </c>
      <c r="J58" s="320">
        <v>3.3460000000000004E-2</v>
      </c>
      <c r="K58" s="321">
        <f t="shared" si="3"/>
        <v>3.3460000000000004E-2</v>
      </c>
      <c r="L58" s="322">
        <f t="shared" si="1"/>
        <v>0.9085475999999999</v>
      </c>
      <c r="M58" s="324">
        <f t="shared" si="2"/>
        <v>9.14524000000001E-2</v>
      </c>
    </row>
    <row r="59" spans="1:13">
      <c r="A59" s="319" t="s">
        <v>430</v>
      </c>
      <c r="B59" s="319" t="s">
        <v>431</v>
      </c>
      <c r="C59" s="319" t="str">
        <f>INDEX(Countries_Codes[Earning Premium Database],MATCH(B59,Countries_Codes[Country Code 3 digit],0))</f>
        <v>Sub-Saharan Africa</v>
      </c>
      <c r="D59" s="319" t="str">
        <f>INDEX(Countries_Codes[Income level, World Bank (2024)],MATCH(B59,Countries_Codes[Country Code 3 digit],0))</f>
        <v>Upper-middle-income countries</v>
      </c>
      <c r="E59" s="319" t="s">
        <v>2364</v>
      </c>
      <c r="F59" s="319">
        <v>2010</v>
      </c>
      <c r="G59" s="320">
        <v>0.18160000000000001</v>
      </c>
      <c r="H59" s="319" t="s">
        <v>2327</v>
      </c>
      <c r="I59" s="319" t="s">
        <v>2327</v>
      </c>
      <c r="J59" s="320" t="s">
        <v>2327</v>
      </c>
      <c r="K59" s="321">
        <f t="shared" si="3"/>
        <v>0.5219125</v>
      </c>
      <c r="L59" s="322">
        <f t="shared" ref="L59:L111" si="4">(1-G59)*(1-K59)</f>
        <v>0.39126681000000002</v>
      </c>
      <c r="M59" s="324">
        <f t="shared" si="2"/>
        <v>0.60873318999999992</v>
      </c>
    </row>
    <row r="60" spans="1:13">
      <c r="A60" s="319" t="s">
        <v>2365</v>
      </c>
      <c r="B60" s="319" t="s">
        <v>663</v>
      </c>
      <c r="C60" s="319" t="str">
        <f>INDEX(Countries_Codes[Earning Premium Database],MATCH(B60,Countries_Codes[Country Code 3 digit],0))</f>
        <v>Europe &amp; Central Asia</v>
      </c>
      <c r="D60" s="319" t="str">
        <f>INDEX(Countries_Codes[Income level, World Bank (2024)],MATCH(B60,Countries_Codes[Country Code 3 digit],0))</f>
        <v>High-income countries</v>
      </c>
      <c r="E60" s="319" t="s">
        <v>2328</v>
      </c>
      <c r="F60" s="319">
        <v>2024</v>
      </c>
      <c r="G60" s="320">
        <v>2.988E-2</v>
      </c>
      <c r="H60" s="319" t="s">
        <v>2334</v>
      </c>
      <c r="I60" s="319">
        <v>2018</v>
      </c>
      <c r="J60" s="320">
        <v>6.5119999999999997E-2</v>
      </c>
      <c r="K60" s="321">
        <f t="shared" si="3"/>
        <v>6.5119999999999997E-2</v>
      </c>
      <c r="L60" s="322">
        <f t="shared" si="4"/>
        <v>0.90694578560000005</v>
      </c>
      <c r="M60" s="324">
        <f t="shared" si="2"/>
        <v>9.3054214399999946E-2</v>
      </c>
    </row>
    <row r="61" spans="1:13">
      <c r="A61" s="319" t="s">
        <v>434</v>
      </c>
      <c r="B61" s="319" t="s">
        <v>435</v>
      </c>
      <c r="C61" s="319" t="str">
        <f>INDEX(Countries_Codes[Earning Premium Database],MATCH(B61,Countries_Codes[Country Code 3 digit],0))</f>
        <v>Europe &amp; Central Asia</v>
      </c>
      <c r="D61" s="319" t="str">
        <f>INDEX(Countries_Codes[Income level, World Bank (2024)],MATCH(B61,Countries_Codes[Country Code 3 digit],0))</f>
        <v>Upper-middle-income countries</v>
      </c>
      <c r="E61" s="319" t="s">
        <v>2328</v>
      </c>
      <c r="F61" s="319">
        <v>2020</v>
      </c>
      <c r="G61" s="320">
        <v>0.10055</v>
      </c>
      <c r="H61" s="319" t="s">
        <v>2328</v>
      </c>
      <c r="I61" s="319">
        <v>2020</v>
      </c>
      <c r="J61" s="320">
        <v>0.55627000000000004</v>
      </c>
      <c r="K61" s="321">
        <f t="shared" si="3"/>
        <v>0.55627000000000004</v>
      </c>
      <c r="L61" s="322">
        <f t="shared" si="4"/>
        <v>0.39911294849999995</v>
      </c>
      <c r="M61" s="324">
        <f t="shared" si="2"/>
        <v>0.60088705149999999</v>
      </c>
    </row>
    <row r="62" spans="1:13">
      <c r="A62" s="319" t="s">
        <v>438</v>
      </c>
      <c r="B62" s="319" t="s">
        <v>439</v>
      </c>
      <c r="C62" s="319" t="str">
        <f>INDEX(Countries_Codes[Earning Premium Database],MATCH(B62,Countries_Codes[Country Code 3 digit],0))</f>
        <v>Sub-Saharan Africa</v>
      </c>
      <c r="D62" s="319" t="str">
        <f>INDEX(Countries_Codes[Income level, World Bank (2024)],MATCH(B62,Countries_Codes[Country Code 3 digit],0))</f>
        <v>Lower-middle-income countries</v>
      </c>
      <c r="E62" s="319" t="s">
        <v>2363</v>
      </c>
      <c r="F62" s="319">
        <v>2022</v>
      </c>
      <c r="G62" s="320">
        <v>2.299E-2</v>
      </c>
      <c r="H62" s="319" t="s">
        <v>2328</v>
      </c>
      <c r="I62" s="319">
        <v>2015</v>
      </c>
      <c r="J62" s="320">
        <v>0.78051000000000004</v>
      </c>
      <c r="K62" s="321">
        <f t="shared" si="3"/>
        <v>0.78051000000000004</v>
      </c>
      <c r="L62" s="322">
        <f t="shared" si="4"/>
        <v>0.21444392489999997</v>
      </c>
      <c r="M62" s="324">
        <f t="shared" si="2"/>
        <v>0.78555607510000003</v>
      </c>
    </row>
    <row r="63" spans="1:13">
      <c r="A63" s="319" t="s">
        <v>446</v>
      </c>
      <c r="B63" s="319" t="s">
        <v>447</v>
      </c>
      <c r="C63" s="319" t="str">
        <f>INDEX(Countries_Codes[Earning Premium Database],MATCH(B63,Countries_Codes[Country Code 3 digit],0))</f>
        <v>Sub-Saharan Africa</v>
      </c>
      <c r="D63" s="319" t="str">
        <f>INDEX(Countries_Codes[Income level, World Bank (2024)],MATCH(B63,Countries_Codes[Country Code 3 digit],0))</f>
        <v>Lower-middle-income countries</v>
      </c>
      <c r="E63" s="319" t="s">
        <v>2354</v>
      </c>
      <c r="F63" s="319">
        <v>2019</v>
      </c>
      <c r="G63" s="320">
        <v>4.6710000000000002E-2</v>
      </c>
      <c r="H63" s="319" t="s">
        <v>2327</v>
      </c>
      <c r="I63" s="319" t="s">
        <v>2327</v>
      </c>
      <c r="J63" s="320" t="s">
        <v>2327</v>
      </c>
      <c r="K63" s="321">
        <f t="shared" si="3"/>
        <v>0.83828666666666674</v>
      </c>
      <c r="L63" s="322">
        <f t="shared" si="4"/>
        <v>0.15415970353333328</v>
      </c>
      <c r="M63" s="324">
        <f t="shared" si="2"/>
        <v>0.8458402964666667</v>
      </c>
    </row>
    <row r="64" spans="1:13">
      <c r="A64" s="319" t="s">
        <v>2185</v>
      </c>
      <c r="B64" s="319" t="s">
        <v>433</v>
      </c>
      <c r="C64" s="319" t="str">
        <f>INDEX(Countries_Codes[Earning Premium Database],MATCH(B64,Countries_Codes[Country Code 3 digit],0))</f>
        <v>Sub-Saharan Africa</v>
      </c>
      <c r="D64" s="319" t="str">
        <f>INDEX(Countries_Codes[Income level, World Bank (2024)],MATCH(B64,Countries_Codes[Country Code 3 digit],0))</f>
        <v>Low-income countries</v>
      </c>
      <c r="E64" s="319" t="s">
        <v>2328</v>
      </c>
      <c r="F64" s="319">
        <v>2023</v>
      </c>
      <c r="G64" s="320">
        <v>5.1589999999999997E-2</v>
      </c>
      <c r="H64" s="319" t="s">
        <v>2328</v>
      </c>
      <c r="I64" s="319">
        <v>2023</v>
      </c>
      <c r="J64" s="320">
        <v>0.84132999999999991</v>
      </c>
      <c r="K64" s="321">
        <f t="shared" si="3"/>
        <v>0.84132999999999991</v>
      </c>
      <c r="L64" s="322">
        <f t="shared" si="4"/>
        <v>0.15048421470000009</v>
      </c>
      <c r="M64" s="324">
        <f t="shared" si="2"/>
        <v>0.84951578529999994</v>
      </c>
    </row>
    <row r="65" spans="1:13">
      <c r="A65" s="319" t="s">
        <v>440</v>
      </c>
      <c r="B65" s="319" t="s">
        <v>441</v>
      </c>
      <c r="C65" s="319" t="str">
        <f>INDEX(Countries_Codes[Earning Premium Database],MATCH(B65,Countries_Codes[Country Code 3 digit],0))</f>
        <v>Europe &amp; Central Asia</v>
      </c>
      <c r="D65" s="319" t="str">
        <f>INDEX(Countries_Codes[Income level, World Bank (2024)],MATCH(B65,Countries_Codes[Country Code 3 digit],0))</f>
        <v>High-income countries</v>
      </c>
      <c r="E65" s="319" t="s">
        <v>2328</v>
      </c>
      <c r="F65" s="319">
        <v>2024</v>
      </c>
      <c r="G65" s="320">
        <v>9.3200000000000005E-2</v>
      </c>
      <c r="H65" s="319" t="s">
        <v>2334</v>
      </c>
      <c r="I65" s="319">
        <v>2023</v>
      </c>
      <c r="J65" s="320">
        <v>4.1159999999999995E-2</v>
      </c>
      <c r="K65" s="321">
        <f t="shared" si="3"/>
        <v>4.1159999999999995E-2</v>
      </c>
      <c r="L65" s="322">
        <f t="shared" si="4"/>
        <v>0.86947611200000008</v>
      </c>
      <c r="M65" s="324">
        <f t="shared" si="2"/>
        <v>0.13052388799999992</v>
      </c>
    </row>
    <row r="66" spans="1:13">
      <c r="A66" s="319" t="s">
        <v>444</v>
      </c>
      <c r="B66" s="319" t="s">
        <v>445</v>
      </c>
      <c r="C66" s="319" t="str">
        <f>INDEX(Countries_Codes[Earning Premium Database],MATCH(B66,Countries_Codes[Country Code 3 digit],0))</f>
        <v>Latin America &amp; Caribbean</v>
      </c>
      <c r="D66" s="319" t="str">
        <f>INDEX(Countries_Codes[Income level, World Bank (2024)],MATCH(B66,Countries_Codes[Country Code 3 digit],0))</f>
        <v>Upper-middle-income countries</v>
      </c>
      <c r="E66" s="319" t="s">
        <v>2363</v>
      </c>
      <c r="F66" s="319">
        <v>2023</v>
      </c>
      <c r="G66" s="320">
        <v>1.6549999999999999E-2</v>
      </c>
      <c r="H66" s="319" t="s">
        <v>2363</v>
      </c>
      <c r="I66" s="319">
        <v>2023</v>
      </c>
      <c r="J66" s="320">
        <v>0.83188999999999991</v>
      </c>
      <c r="K66" s="321">
        <f t="shared" ref="K66:K97" si="5">IF(J66="",IFERROR(AVERAGEIFS($J$2:$J$178,$J$2:$J$178,"&lt;&gt;""",$C$2:$C$178,$C66,$D$2:$D$178,D66),AVERAGEIFS($J$2:$J$178,$J$2:$J$178,"&lt;&gt;""",$D$2:$D$178,D66)),J66)</f>
        <v>0.83188999999999991</v>
      </c>
      <c r="L66" s="322">
        <f t="shared" si="4"/>
        <v>0.1653277795000001</v>
      </c>
      <c r="M66" s="324">
        <f t="shared" si="2"/>
        <v>0.8346722204999999</v>
      </c>
    </row>
    <row r="67" spans="1:13">
      <c r="A67" s="319" t="s">
        <v>450</v>
      </c>
      <c r="B67" s="319" t="s">
        <v>451</v>
      </c>
      <c r="C67" s="319" t="str">
        <f>INDEX(Countries_Codes[Earning Premium Database],MATCH(B67,Countries_Codes[Country Code 3 digit],0))</f>
        <v>Latin America &amp; Caribbean</v>
      </c>
      <c r="D67" s="319" t="str">
        <f>INDEX(Countries_Codes[Income level, World Bank (2024)],MATCH(B67,Countries_Codes[Country Code 3 digit],0))</f>
        <v>High-income countries</v>
      </c>
      <c r="E67" s="319" t="s">
        <v>2328</v>
      </c>
      <c r="F67" s="319">
        <v>2019</v>
      </c>
      <c r="G67" s="320">
        <v>9.2179999999999998E-2</v>
      </c>
      <c r="H67" s="319" t="s">
        <v>2328</v>
      </c>
      <c r="I67" s="319">
        <v>2019</v>
      </c>
      <c r="J67" s="320">
        <v>0.51168000000000002</v>
      </c>
      <c r="K67" s="321">
        <f t="shared" si="5"/>
        <v>0.51168000000000002</v>
      </c>
      <c r="L67" s="322">
        <f t="shared" si="4"/>
        <v>0.44330666239999994</v>
      </c>
      <c r="M67" s="324">
        <f t="shared" ref="M67:M130" si="6">1-L67</f>
        <v>0.55669333760000006</v>
      </c>
    </row>
    <row r="68" spans="1:13">
      <c r="A68" s="319" t="s">
        <v>2367</v>
      </c>
      <c r="B68" s="319" t="s">
        <v>457</v>
      </c>
      <c r="C68" s="319" t="str">
        <f>INDEX(Countries_Codes[Earning Premium Database],MATCH(B68,Countries_Codes[Country Code 3 digit],0))</f>
        <v>East Asia &amp; Pacific</v>
      </c>
      <c r="D68" s="319" t="str">
        <f>INDEX(Countries_Codes[Income level, World Bank (2024)],MATCH(B68,Countries_Codes[Country Code 3 digit],0))</f>
        <v>High-income countries</v>
      </c>
      <c r="E68" s="319" t="s">
        <v>2368</v>
      </c>
      <c r="F68" s="319">
        <v>2024</v>
      </c>
      <c r="G68" s="320">
        <v>2.6760000000000003E-2</v>
      </c>
      <c r="H68" s="319" t="s">
        <v>2327</v>
      </c>
      <c r="I68" s="319" t="s">
        <v>2327</v>
      </c>
      <c r="J68" s="320" t="s">
        <v>2327</v>
      </c>
      <c r="K68" s="321">
        <f t="shared" si="5"/>
        <v>0.27546999999999999</v>
      </c>
      <c r="L68" s="322">
        <f t="shared" si="4"/>
        <v>0.70514157720000004</v>
      </c>
      <c r="M68" s="324">
        <f t="shared" si="6"/>
        <v>0.29485842279999996</v>
      </c>
    </row>
    <row r="69" spans="1:13">
      <c r="A69" s="319" t="s">
        <v>454</v>
      </c>
      <c r="B69" s="319" t="s">
        <v>455</v>
      </c>
      <c r="C69" s="319" t="str">
        <f>INDEX(Countries_Codes[Earning Premium Database],MATCH(B69,Countries_Codes[Country Code 3 digit],0))</f>
        <v>Latin America &amp; Caribbean</v>
      </c>
      <c r="D69" s="319" t="str">
        <f>INDEX(Countries_Codes[Income level, World Bank (2024)],MATCH(B69,Countries_Codes[Country Code 3 digit],0))</f>
        <v>Lower-middle-income countries</v>
      </c>
      <c r="E69" s="319" t="s">
        <v>2369</v>
      </c>
      <c r="F69" s="319">
        <v>2024</v>
      </c>
      <c r="G69" s="320">
        <v>3.9369999999999995E-2</v>
      </c>
      <c r="H69" s="319" t="s">
        <v>2369</v>
      </c>
      <c r="I69" s="319">
        <v>2017</v>
      </c>
      <c r="J69" s="320">
        <v>0.82611999999999997</v>
      </c>
      <c r="K69" s="321">
        <f t="shared" si="5"/>
        <v>0.82611999999999997</v>
      </c>
      <c r="L69" s="322">
        <f t="shared" si="4"/>
        <v>0.16703434440000003</v>
      </c>
      <c r="M69" s="324">
        <f t="shared" si="6"/>
        <v>0.83296565560000002</v>
      </c>
    </row>
    <row r="70" spans="1:13">
      <c r="A70" s="319" t="s">
        <v>74</v>
      </c>
      <c r="B70" s="319" t="s">
        <v>75</v>
      </c>
      <c r="C70" s="319" t="str">
        <f>INDEX(Countries_Codes[Earning Premium Database],MATCH(B70,Countries_Codes[Country Code 3 digit],0))</f>
        <v>Europe &amp; Central Asia</v>
      </c>
      <c r="D70" s="319" t="str">
        <f>INDEX(Countries_Codes[Income level, World Bank (2024)],MATCH(B70,Countries_Codes[Country Code 3 digit],0))</f>
        <v>High-income countries</v>
      </c>
      <c r="E70" s="319" t="s">
        <v>2336</v>
      </c>
      <c r="F70" s="319">
        <v>2024</v>
      </c>
      <c r="G70" s="320">
        <v>4.2000000000000003E-2</v>
      </c>
      <c r="H70" s="319" t="s">
        <v>2334</v>
      </c>
      <c r="I70" s="319">
        <v>2023</v>
      </c>
      <c r="J70" s="320">
        <v>1.4419999999999999E-2</v>
      </c>
      <c r="K70" s="321">
        <f t="shared" si="5"/>
        <v>1.4419999999999999E-2</v>
      </c>
      <c r="L70" s="322">
        <f t="shared" si="4"/>
        <v>0.94418563999999994</v>
      </c>
      <c r="M70" s="324">
        <f t="shared" si="6"/>
        <v>5.5814360000000063E-2</v>
      </c>
    </row>
    <row r="71" spans="1:13">
      <c r="A71" s="319" t="s">
        <v>458</v>
      </c>
      <c r="B71" s="319" t="s">
        <v>459</v>
      </c>
      <c r="C71" s="319" t="str">
        <f>INDEX(Countries_Codes[Earning Premium Database],MATCH(B71,Countries_Codes[Country Code 3 digit],0))</f>
        <v>Europe &amp; Central Asia</v>
      </c>
      <c r="D71" s="319" t="str">
        <f>INDEX(Countries_Codes[Income level, World Bank (2024)],MATCH(B71,Countries_Codes[Country Code 3 digit],0))</f>
        <v>High-income countries</v>
      </c>
      <c r="E71" s="319" t="s">
        <v>2328</v>
      </c>
      <c r="F71" s="319">
        <v>2024</v>
      </c>
      <c r="G71" s="320">
        <v>3.7999999999999999E-2</v>
      </c>
      <c r="H71" s="319" t="s">
        <v>2334</v>
      </c>
      <c r="I71" s="319">
        <v>2020</v>
      </c>
      <c r="J71" s="320">
        <v>1.306E-2</v>
      </c>
      <c r="K71" s="321">
        <f t="shared" si="5"/>
        <v>1.306E-2</v>
      </c>
      <c r="L71" s="322">
        <f t="shared" si="4"/>
        <v>0.94943628000000002</v>
      </c>
      <c r="M71" s="324">
        <f t="shared" si="6"/>
        <v>5.0563719999999979E-2</v>
      </c>
    </row>
    <row r="72" spans="1:13">
      <c r="A72" s="319" t="s">
        <v>464</v>
      </c>
      <c r="B72" s="319" t="s">
        <v>465</v>
      </c>
      <c r="C72" s="319" t="str">
        <f>INDEX(Countries_Codes[Earning Premium Database],MATCH(B72,Countries_Codes[Country Code 3 digit],0))</f>
        <v>East Asia &amp; Pacific</v>
      </c>
      <c r="D72" s="319" t="str">
        <f>INDEX(Countries_Codes[Income level, World Bank (2024)],MATCH(B72,Countries_Codes[Country Code 3 digit],0))</f>
        <v>Upper-middle-income countries</v>
      </c>
      <c r="E72" s="319" t="s">
        <v>2370</v>
      </c>
      <c r="F72" s="319">
        <v>2023</v>
      </c>
      <c r="G72" s="320">
        <v>1.6730000000000002E-2</v>
      </c>
      <c r="H72" s="319" t="s">
        <v>2370</v>
      </c>
      <c r="I72" s="319">
        <v>2023</v>
      </c>
      <c r="J72" s="320">
        <v>0.81188000000000005</v>
      </c>
      <c r="K72" s="321">
        <f t="shared" si="5"/>
        <v>0.81188000000000005</v>
      </c>
      <c r="L72" s="322">
        <f t="shared" si="4"/>
        <v>0.18497275239999994</v>
      </c>
      <c r="M72" s="324">
        <f t="shared" si="6"/>
        <v>0.8150272476</v>
      </c>
    </row>
    <row r="73" spans="1:13">
      <c r="A73" s="319" t="s">
        <v>462</v>
      </c>
      <c r="B73" s="319" t="s">
        <v>463</v>
      </c>
      <c r="C73" s="319" t="str">
        <f>INDEX(Countries_Codes[Earning Premium Database],MATCH(B73,Countries_Codes[Country Code 3 digit],0))</f>
        <v>South Asia</v>
      </c>
      <c r="D73" s="319" t="str">
        <f>INDEX(Countries_Codes[Income level, World Bank (2024)],MATCH(B73,Countries_Codes[Country Code 3 digit],0))</f>
        <v>Lower-middle-income countries</v>
      </c>
      <c r="E73" s="319" t="s">
        <v>2371</v>
      </c>
      <c r="F73" s="319">
        <v>2024</v>
      </c>
      <c r="G73" s="320">
        <v>2.3860000000000003E-2</v>
      </c>
      <c r="H73" s="319" t="s">
        <v>2371</v>
      </c>
      <c r="I73" s="319">
        <v>2024</v>
      </c>
      <c r="J73" s="320">
        <v>0.88364000000000009</v>
      </c>
      <c r="K73" s="321">
        <f t="shared" si="5"/>
        <v>0.88364000000000009</v>
      </c>
      <c r="L73" s="322">
        <f t="shared" si="4"/>
        <v>0.11358365039999992</v>
      </c>
      <c r="M73" s="324">
        <f t="shared" si="6"/>
        <v>0.88641634960000004</v>
      </c>
    </row>
    <row r="74" spans="1:13">
      <c r="A74" s="319" t="s">
        <v>470</v>
      </c>
      <c r="B74" s="319" t="s">
        <v>471</v>
      </c>
      <c r="C74" s="319" t="str">
        <f>INDEX(Countries_Codes[Earning Premium Database],MATCH(B74,Countries_Codes[Country Code 3 digit],0))</f>
        <v>Europe &amp; Central Asia</v>
      </c>
      <c r="D74" s="319" t="str">
        <f>INDEX(Countries_Codes[Income level, World Bank (2024)],MATCH(B74,Countries_Codes[Country Code 3 digit],0))</f>
        <v>High-income countries</v>
      </c>
      <c r="E74" s="319" t="s">
        <v>2336</v>
      </c>
      <c r="F74" s="319">
        <v>2024</v>
      </c>
      <c r="G74" s="320">
        <v>3.4000000000000002E-2</v>
      </c>
      <c r="H74" s="319" t="s">
        <v>2334</v>
      </c>
      <c r="I74" s="319">
        <v>2023</v>
      </c>
      <c r="J74" s="320">
        <v>1.9990000000000001E-2</v>
      </c>
      <c r="K74" s="321">
        <f t="shared" si="5"/>
        <v>1.9990000000000001E-2</v>
      </c>
      <c r="L74" s="322">
        <f t="shared" si="4"/>
        <v>0.94668965999999999</v>
      </c>
      <c r="M74" s="324">
        <f t="shared" si="6"/>
        <v>5.3310340000000012E-2</v>
      </c>
    </row>
    <row r="75" spans="1:13">
      <c r="A75" s="319" t="s">
        <v>468</v>
      </c>
      <c r="B75" s="319" t="s">
        <v>469</v>
      </c>
      <c r="C75" s="319" t="str">
        <f>INDEX(Countries_Codes[Earning Premium Database],MATCH(B75,Countries_Codes[Country Code 3 digit],0))</f>
        <v>Middle East &amp; North Africa</v>
      </c>
      <c r="D75" s="319" t="str">
        <f>INDEX(Countries_Codes[Income level, World Bank (2024)],MATCH(B75,Countries_Codes[Country Code 3 digit],0))</f>
        <v>Upper-middle-income countries</v>
      </c>
      <c r="E75" s="319" t="s">
        <v>2328</v>
      </c>
      <c r="F75" s="319">
        <v>2021</v>
      </c>
      <c r="G75" s="320">
        <v>0.10816000000000001</v>
      </c>
      <c r="H75" s="319" t="s">
        <v>2328</v>
      </c>
      <c r="I75" s="319">
        <v>2021</v>
      </c>
      <c r="J75" s="320">
        <v>0.67638999999999994</v>
      </c>
      <c r="K75" s="321">
        <f t="shared" si="5"/>
        <v>0.67638999999999994</v>
      </c>
      <c r="L75" s="322">
        <f t="shared" si="4"/>
        <v>0.28860834240000005</v>
      </c>
      <c r="M75" s="324">
        <f t="shared" si="6"/>
        <v>0.71139165759999989</v>
      </c>
    </row>
    <row r="76" spans="1:13">
      <c r="A76" s="319" t="s">
        <v>460</v>
      </c>
      <c r="B76" s="319" t="s">
        <v>461</v>
      </c>
      <c r="C76" s="319" t="str">
        <f>INDEX(Countries_Codes[Earning Premium Database],MATCH(B76,Countries_Codes[Country Code 3 digit],0))</f>
        <v>Europe &amp; Central Asia</v>
      </c>
      <c r="D76" s="319" t="str">
        <f>INDEX(Countries_Codes[Income level, World Bank (2024)],MATCH(B76,Countries_Codes[Country Code 3 digit],0))</f>
        <v>High-income countries</v>
      </c>
      <c r="E76" s="319" t="s">
        <v>2336</v>
      </c>
      <c r="F76" s="319">
        <v>2024</v>
      </c>
      <c r="G76" s="320">
        <v>2.6000000000000002E-2</v>
      </c>
      <c r="H76" s="319" t="s">
        <v>2334</v>
      </c>
      <c r="I76" s="319">
        <v>2019</v>
      </c>
      <c r="J76" s="320">
        <v>1.397E-2</v>
      </c>
      <c r="K76" s="321">
        <f t="shared" si="5"/>
        <v>1.397E-2</v>
      </c>
      <c r="L76" s="322">
        <f t="shared" si="4"/>
        <v>0.96039321999999994</v>
      </c>
      <c r="M76" s="324">
        <f t="shared" si="6"/>
        <v>3.9606780000000064E-2</v>
      </c>
    </row>
    <row r="77" spans="1:13">
      <c r="A77" s="319" t="s">
        <v>472</v>
      </c>
      <c r="B77" s="319" t="s">
        <v>473</v>
      </c>
      <c r="C77" s="319" t="str">
        <f>INDEX(Countries_Codes[Earning Premium Database],MATCH(B77,Countries_Codes[Country Code 3 digit],0))</f>
        <v>Middle East &amp; North Africa</v>
      </c>
      <c r="D77" s="319" t="str">
        <f>INDEX(Countries_Codes[Income level, World Bank (2024)],MATCH(B77,Countries_Codes[Country Code 3 digit],0))</f>
        <v>High-income countries</v>
      </c>
      <c r="E77" s="319" t="s">
        <v>2328</v>
      </c>
      <c r="F77" s="319">
        <v>2023</v>
      </c>
      <c r="G77" s="320">
        <v>2.9239999999999999E-2</v>
      </c>
      <c r="H77" s="319" t="s">
        <v>2327</v>
      </c>
      <c r="I77" s="319" t="s">
        <v>2327</v>
      </c>
      <c r="J77" s="320" t="s">
        <v>2327</v>
      </c>
      <c r="K77" s="321">
        <f t="shared" si="5"/>
        <v>0.10858720930232556</v>
      </c>
      <c r="L77" s="322">
        <f t="shared" si="4"/>
        <v>0.86534788069767443</v>
      </c>
      <c r="M77" s="324">
        <f t="shared" si="6"/>
        <v>0.13465211930232557</v>
      </c>
    </row>
    <row r="78" spans="1:13">
      <c r="A78" s="319" t="s">
        <v>474</v>
      </c>
      <c r="B78" s="319" t="s">
        <v>475</v>
      </c>
      <c r="C78" s="319" t="str">
        <f>INDEX(Countries_Codes[Earning Premium Database],MATCH(B78,Countries_Codes[Country Code 3 digit],0))</f>
        <v>Europe &amp; Central Asia</v>
      </c>
      <c r="D78" s="319" t="str">
        <f>INDEX(Countries_Codes[Income level, World Bank (2024)],MATCH(B78,Countries_Codes[Country Code 3 digit],0))</f>
        <v>High-income countries</v>
      </c>
      <c r="E78" s="319" t="s">
        <v>2336</v>
      </c>
      <c r="F78" s="319">
        <v>2024</v>
      </c>
      <c r="G78" s="320">
        <v>5.7000000000000002E-2</v>
      </c>
      <c r="H78" s="319" t="s">
        <v>2334</v>
      </c>
      <c r="I78" s="319">
        <v>2023</v>
      </c>
      <c r="J78" s="320">
        <v>3.4889999999999997E-2</v>
      </c>
      <c r="K78" s="321">
        <f t="shared" si="5"/>
        <v>3.4889999999999997E-2</v>
      </c>
      <c r="L78" s="322">
        <f t="shared" si="4"/>
        <v>0.91009872999999997</v>
      </c>
      <c r="M78" s="324">
        <f t="shared" si="6"/>
        <v>8.9901270000000033E-2</v>
      </c>
    </row>
    <row r="79" spans="1:13">
      <c r="A79" s="319" t="s">
        <v>476</v>
      </c>
      <c r="B79" s="319" t="s">
        <v>477</v>
      </c>
      <c r="C79" s="319" t="str">
        <f>INDEX(Countries_Codes[Earning Premium Database],MATCH(B79,Countries_Codes[Country Code 3 digit],0))</f>
        <v>Latin America &amp; Caribbean</v>
      </c>
      <c r="D79" s="319" t="str">
        <f>INDEX(Countries_Codes[Income level, World Bank (2024)],MATCH(B79,Countries_Codes[Country Code 3 digit],0))</f>
        <v>Upper-middle-income countries</v>
      </c>
      <c r="E79" s="319" t="s">
        <v>2328</v>
      </c>
      <c r="F79" s="319">
        <v>2023</v>
      </c>
      <c r="G79" s="320">
        <v>1.975E-2</v>
      </c>
      <c r="H79" s="319" t="s">
        <v>2328</v>
      </c>
      <c r="I79" s="319">
        <v>2023</v>
      </c>
      <c r="J79" s="320">
        <v>0.5464</v>
      </c>
      <c r="K79" s="321">
        <f t="shared" si="5"/>
        <v>0.5464</v>
      </c>
      <c r="L79" s="322">
        <f t="shared" si="4"/>
        <v>0.44464139999999996</v>
      </c>
      <c r="M79" s="324">
        <f t="shared" si="6"/>
        <v>0.55535860000000004</v>
      </c>
    </row>
    <row r="80" spans="1:13">
      <c r="A80" s="319" t="s">
        <v>480</v>
      </c>
      <c r="B80" s="319" t="s">
        <v>481</v>
      </c>
      <c r="C80" s="319" t="str">
        <f>INDEX(Countries_Codes[Earning Premium Database],MATCH(B80,Countries_Codes[Country Code 3 digit],0))</f>
        <v>Middle East &amp; North Africa</v>
      </c>
      <c r="D80" s="319" t="str">
        <f>INDEX(Countries_Codes[Income level, World Bank (2024)],MATCH(B80,Countries_Codes[Country Code 3 digit],0))</f>
        <v>Lower-middle-income countries</v>
      </c>
      <c r="E80" s="319" t="s">
        <v>2372</v>
      </c>
      <c r="F80" s="319">
        <v>2023</v>
      </c>
      <c r="G80" s="320">
        <v>0.12194000000000001</v>
      </c>
      <c r="H80" s="319" t="s">
        <v>2372</v>
      </c>
      <c r="I80" s="319">
        <v>2023</v>
      </c>
      <c r="J80" s="320">
        <v>0.55124000000000006</v>
      </c>
      <c r="K80" s="321">
        <f t="shared" si="5"/>
        <v>0.55124000000000006</v>
      </c>
      <c r="L80" s="322">
        <f t="shared" si="4"/>
        <v>0.39403820559999991</v>
      </c>
      <c r="M80" s="324">
        <f t="shared" si="6"/>
        <v>0.60596179440000009</v>
      </c>
    </row>
    <row r="81" spans="1:13">
      <c r="A81" s="319" t="s">
        <v>478</v>
      </c>
      <c r="B81" s="319" t="s">
        <v>479</v>
      </c>
      <c r="C81" s="319" t="str">
        <f>INDEX(Countries_Codes[Earning Premium Database],MATCH(B81,Countries_Codes[Country Code 3 digit],0))</f>
        <v>East Asia &amp; Pacific</v>
      </c>
      <c r="D81" s="319" t="str">
        <f>INDEX(Countries_Codes[Income level, World Bank (2024)],MATCH(B81,Countries_Codes[Country Code 3 digit],0))</f>
        <v>High-income countries</v>
      </c>
      <c r="E81" s="319" t="s">
        <v>2328</v>
      </c>
      <c r="F81" s="319">
        <v>2024</v>
      </c>
      <c r="G81" s="320">
        <v>2.4049999999999998E-2</v>
      </c>
      <c r="H81" s="319" t="s">
        <v>2327</v>
      </c>
      <c r="I81" s="319" t="s">
        <v>2327</v>
      </c>
      <c r="J81" s="320" t="s">
        <v>2327</v>
      </c>
      <c r="K81" s="321">
        <f t="shared" si="5"/>
        <v>0.27546999999999999</v>
      </c>
      <c r="L81" s="322">
        <f t="shared" si="4"/>
        <v>0.70710505349999997</v>
      </c>
      <c r="M81" s="324">
        <f t="shared" si="6"/>
        <v>0.29289494650000003</v>
      </c>
    </row>
    <row r="82" spans="1:13">
      <c r="A82" s="319" t="s">
        <v>482</v>
      </c>
      <c r="B82" s="319" t="s">
        <v>483</v>
      </c>
      <c r="C82" s="319" t="str">
        <f>INDEX(Countries_Codes[Earning Premium Database],MATCH(B82,Countries_Codes[Country Code 3 digit],0))</f>
        <v>Europe &amp; Central Asia</v>
      </c>
      <c r="D82" s="319" t="str">
        <f>INDEX(Countries_Codes[Income level, World Bank (2024)],MATCH(B82,Countries_Codes[Country Code 3 digit],0))</f>
        <v>Upper-middle-income countries</v>
      </c>
      <c r="E82" s="319" t="s">
        <v>2373</v>
      </c>
      <c r="F82" s="319">
        <v>2022</v>
      </c>
      <c r="G82" s="320">
        <v>4.9800000000000004E-2</v>
      </c>
      <c r="H82" s="319" t="s">
        <v>2327</v>
      </c>
      <c r="I82" s="319" t="s">
        <v>2327</v>
      </c>
      <c r="J82" s="320" t="s">
        <v>2327</v>
      </c>
      <c r="K82" s="321">
        <f t="shared" si="5"/>
        <v>0.33085285714285717</v>
      </c>
      <c r="L82" s="322">
        <f t="shared" si="4"/>
        <v>0.63582361514285712</v>
      </c>
      <c r="M82" s="324">
        <f t="shared" si="6"/>
        <v>0.36417638485714288</v>
      </c>
    </row>
    <row r="83" spans="1:13">
      <c r="A83" s="319" t="s">
        <v>484</v>
      </c>
      <c r="B83" s="319" t="s">
        <v>485</v>
      </c>
      <c r="C83" s="319" t="str">
        <f>INDEX(Countries_Codes[Earning Premium Database],MATCH(B83,Countries_Codes[Country Code 3 digit],0))</f>
        <v>Sub-Saharan Africa</v>
      </c>
      <c r="D83" s="319" t="str">
        <f>INDEX(Countries_Codes[Income level, World Bank (2024)],MATCH(B83,Countries_Codes[Country Code 3 digit],0))</f>
        <v>Lower-middle-income countries</v>
      </c>
      <c r="E83" s="319" t="s">
        <v>2374</v>
      </c>
      <c r="F83" s="319">
        <v>2022</v>
      </c>
      <c r="G83" s="320">
        <v>3.6409999999999998E-2</v>
      </c>
      <c r="H83" s="319" t="s">
        <v>2374</v>
      </c>
      <c r="I83" s="319">
        <v>2019</v>
      </c>
      <c r="J83" s="320">
        <v>0.86489000000000005</v>
      </c>
      <c r="K83" s="321">
        <f t="shared" si="5"/>
        <v>0.86489000000000005</v>
      </c>
      <c r="L83" s="322">
        <f t="shared" si="4"/>
        <v>0.13019064489999996</v>
      </c>
      <c r="M83" s="324">
        <f t="shared" si="6"/>
        <v>0.86980935510000001</v>
      </c>
    </row>
    <row r="84" spans="1:13">
      <c r="A84" s="319" t="s">
        <v>965</v>
      </c>
      <c r="B84" s="319" t="s">
        <v>491</v>
      </c>
      <c r="C84" s="319" t="str">
        <f>INDEX(Countries_Codes[Earning Premium Database],MATCH(B84,Countries_Codes[Country Code 3 digit],0))</f>
        <v>Europe &amp; Central Asia</v>
      </c>
      <c r="D84" s="319" t="str">
        <f>INDEX(Countries_Codes[Income level, World Bank (2024)],MATCH(B84,Countries_Codes[Country Code 3 digit],0))</f>
        <v>Lower-middle-income countries</v>
      </c>
      <c r="E84" s="319" t="s">
        <v>2372</v>
      </c>
      <c r="F84" s="319">
        <v>2023</v>
      </c>
      <c r="G84" s="320">
        <v>2.7799999999999998E-2</v>
      </c>
      <c r="H84" s="319" t="s">
        <v>2372</v>
      </c>
      <c r="I84" s="319">
        <v>2023</v>
      </c>
      <c r="J84" s="320">
        <v>0.58757999999999999</v>
      </c>
      <c r="K84" s="321">
        <f t="shared" si="5"/>
        <v>0.58757999999999999</v>
      </c>
      <c r="L84" s="322">
        <f t="shared" si="4"/>
        <v>0.40095472399999998</v>
      </c>
      <c r="M84" s="324">
        <f t="shared" si="6"/>
        <v>0.59904527600000002</v>
      </c>
    </row>
    <row r="85" spans="1:13">
      <c r="A85" s="319" t="s">
        <v>374</v>
      </c>
      <c r="B85" s="319" t="s">
        <v>375</v>
      </c>
      <c r="C85" s="319" t="str">
        <f>INDEX(Countries_Codes[Earning Premium Database],MATCH(B85,Countries_Codes[Country Code 3 digit],0))</f>
        <v>East Asia &amp; Pacific</v>
      </c>
      <c r="D85" s="319" t="str">
        <f>INDEX(Countries_Codes[Income level, World Bank (2024)],MATCH(B85,Countries_Codes[Country Code 3 digit],0))</f>
        <v>Lower-middle-income countries</v>
      </c>
      <c r="E85" s="319" t="s">
        <v>2375</v>
      </c>
      <c r="F85" s="319">
        <v>2023</v>
      </c>
      <c r="G85" s="320">
        <v>1.4199999999999998E-3</v>
      </c>
      <c r="H85" s="319" t="s">
        <v>2328</v>
      </c>
      <c r="I85" s="319">
        <v>2019</v>
      </c>
      <c r="J85" s="320">
        <v>0.89405000000000001</v>
      </c>
      <c r="K85" s="321">
        <f t="shared" si="5"/>
        <v>0.89405000000000001</v>
      </c>
      <c r="L85" s="322">
        <f t="shared" si="4"/>
        <v>0.10579955099999999</v>
      </c>
      <c r="M85" s="324">
        <f t="shared" si="6"/>
        <v>0.89420044899999995</v>
      </c>
    </row>
    <row r="86" spans="1:13">
      <c r="A86" s="319" t="s">
        <v>2376</v>
      </c>
      <c r="B86" s="319" t="s">
        <v>489</v>
      </c>
      <c r="C86" s="319" t="str">
        <f>INDEX(Countries_Codes[Earning Premium Database],MATCH(B86,Countries_Codes[Country Code 3 digit],0))</f>
        <v>East Asia &amp; Pacific</v>
      </c>
      <c r="D86" s="319" t="str">
        <f>INDEX(Countries_Codes[Income level, World Bank (2024)],MATCH(B86,Countries_Codes[Country Code 3 digit],0))</f>
        <v>High-income countries</v>
      </c>
      <c r="E86" s="319" t="s">
        <v>2377</v>
      </c>
      <c r="F86" s="319">
        <v>2024</v>
      </c>
      <c r="G86" s="320">
        <v>2.6339999999999999E-2</v>
      </c>
      <c r="H86" s="319" t="s">
        <v>2378</v>
      </c>
      <c r="I86" s="319">
        <v>2019</v>
      </c>
      <c r="J86" s="320">
        <v>0.26618999999999998</v>
      </c>
      <c r="K86" s="321">
        <f t="shared" si="5"/>
        <v>0.26618999999999998</v>
      </c>
      <c r="L86" s="322">
        <f t="shared" si="4"/>
        <v>0.71448144460000007</v>
      </c>
      <c r="M86" s="324">
        <f t="shared" si="6"/>
        <v>0.28551855539999993</v>
      </c>
    </row>
    <row r="87" spans="1:13">
      <c r="A87" s="319" t="s">
        <v>700</v>
      </c>
      <c r="B87" s="319" t="s">
        <v>701</v>
      </c>
      <c r="C87" s="319" t="str">
        <f>INDEX(Countries_Codes[Earning Premium Database],MATCH(B87,Countries_Codes[Country Code 3 digit],0))</f>
        <v>Middle East &amp; North Africa</v>
      </c>
      <c r="D87" s="319" t="str">
        <f>INDEX(Countries_Codes[Income level, World Bank (2024)],MATCH(B87,Countries_Codes[Country Code 3 digit],0))</f>
        <v>High-income countries</v>
      </c>
      <c r="E87" s="319" t="s">
        <v>2356</v>
      </c>
      <c r="F87" s="319">
        <v>2016</v>
      </c>
      <c r="G87" s="320">
        <v>1.54E-2</v>
      </c>
      <c r="H87" s="319" t="s">
        <v>2327</v>
      </c>
      <c r="I87" s="319" t="s">
        <v>2327</v>
      </c>
      <c r="J87" s="320" t="s">
        <v>2327</v>
      </c>
      <c r="K87" s="321">
        <f t="shared" si="5"/>
        <v>0.10858720930232556</v>
      </c>
      <c r="L87" s="322">
        <f t="shared" si="4"/>
        <v>0.87768503372093032</v>
      </c>
      <c r="M87" s="324">
        <f t="shared" si="6"/>
        <v>0.12231496627906968</v>
      </c>
    </row>
    <row r="88" spans="1:13">
      <c r="A88" s="319" t="s">
        <v>2379</v>
      </c>
      <c r="B88" s="319" t="s">
        <v>493</v>
      </c>
      <c r="C88" s="319" t="str">
        <f>INDEX(Countries_Codes[Earning Premium Database],MATCH(B88,Countries_Codes[Country Code 3 digit],0))</f>
        <v>East Asia &amp; Pacific</v>
      </c>
      <c r="D88" s="319" t="str">
        <f>INDEX(Countries_Codes[Income level, World Bank (2024)],MATCH(B88,Countries_Codes[Country Code 3 digit],0))</f>
        <v>Lower-middle-income countries</v>
      </c>
      <c r="E88" s="319" t="s">
        <v>2328</v>
      </c>
      <c r="F88" s="319">
        <v>2022</v>
      </c>
      <c r="G88" s="320">
        <v>9.4399999999999987E-3</v>
      </c>
      <c r="H88" s="319" t="s">
        <v>2328</v>
      </c>
      <c r="I88" s="319">
        <v>2022</v>
      </c>
      <c r="J88" s="320">
        <v>0.90489000000000008</v>
      </c>
      <c r="K88" s="321">
        <f t="shared" si="5"/>
        <v>0.90489000000000008</v>
      </c>
      <c r="L88" s="322">
        <f t="shared" si="4"/>
        <v>9.4212161599999913E-2</v>
      </c>
      <c r="M88" s="324">
        <f t="shared" si="6"/>
        <v>0.9057878384000001</v>
      </c>
    </row>
    <row r="89" spans="1:13">
      <c r="A89" s="319" t="s">
        <v>496</v>
      </c>
      <c r="B89" s="319" t="s">
        <v>497</v>
      </c>
      <c r="C89" s="319" t="str">
        <f>INDEX(Countries_Codes[Earning Premium Database],MATCH(B89,Countries_Codes[Country Code 3 digit],0))</f>
        <v>Middle East &amp; North Africa</v>
      </c>
      <c r="D89" s="319" t="str">
        <f>INDEX(Countries_Codes[Income level, World Bank (2024)],MATCH(B89,Countries_Codes[Country Code 3 digit],0))</f>
        <v>Lower-middle-income countries</v>
      </c>
      <c r="E89" s="319" t="s">
        <v>2328</v>
      </c>
      <c r="F89" s="319">
        <v>2019</v>
      </c>
      <c r="G89" s="320">
        <v>8.584E-2</v>
      </c>
      <c r="H89" s="319" t="s">
        <v>2328</v>
      </c>
      <c r="I89" s="319">
        <v>2019</v>
      </c>
      <c r="J89" s="320">
        <v>0.55448999999999993</v>
      </c>
      <c r="K89" s="321">
        <f t="shared" si="5"/>
        <v>0.55448999999999993</v>
      </c>
      <c r="L89" s="322">
        <f t="shared" si="4"/>
        <v>0.40726742160000007</v>
      </c>
      <c r="M89" s="324">
        <f t="shared" si="6"/>
        <v>0.59273257839999993</v>
      </c>
    </row>
    <row r="90" spans="1:13">
      <c r="A90" s="319" t="s">
        <v>500</v>
      </c>
      <c r="B90" s="319" t="s">
        <v>501</v>
      </c>
      <c r="C90" s="319" t="str">
        <f>INDEX(Countries_Codes[Earning Premium Database],MATCH(B90,Countries_Codes[Country Code 3 digit],0))</f>
        <v>Sub-Saharan Africa</v>
      </c>
      <c r="D90" s="319" t="str">
        <f>INDEX(Countries_Codes[Income level, World Bank (2024)],MATCH(B90,Countries_Codes[Country Code 3 digit],0))</f>
        <v>Low-income countries</v>
      </c>
      <c r="E90" s="319" t="s">
        <v>2328</v>
      </c>
      <c r="F90" s="319">
        <v>2017</v>
      </c>
      <c r="G90" s="320">
        <v>5.3800000000000001E-2</v>
      </c>
      <c r="H90" s="319" t="s">
        <v>2328</v>
      </c>
      <c r="I90" s="319">
        <v>2017</v>
      </c>
      <c r="J90" s="320">
        <v>0.89662000000000008</v>
      </c>
      <c r="K90" s="321">
        <f t="shared" si="5"/>
        <v>0.89662000000000008</v>
      </c>
      <c r="L90" s="322">
        <f t="shared" si="4"/>
        <v>9.781815599999992E-2</v>
      </c>
      <c r="M90" s="324">
        <f t="shared" si="6"/>
        <v>0.90218184400000012</v>
      </c>
    </row>
    <row r="91" spans="1:13">
      <c r="A91" s="319" t="s">
        <v>702</v>
      </c>
      <c r="B91" s="319" t="s">
        <v>703</v>
      </c>
      <c r="C91" s="319" t="str">
        <f>INDEX(Countries_Codes[Earning Premium Database],MATCH(B91,Countries_Codes[Country Code 3 digit],0))</f>
        <v>Middle East &amp; North Africa</v>
      </c>
      <c r="D91" s="319" t="str">
        <f>INDEX(Countries_Codes[Income level, World Bank (2024)],MATCH(B91,Countries_Codes[Country Code 3 digit],0))</f>
        <v>Upper-middle-income countries</v>
      </c>
      <c r="E91" s="319" t="s">
        <v>2328</v>
      </c>
      <c r="F91" s="319">
        <v>2012</v>
      </c>
      <c r="G91" s="320">
        <v>0.156</v>
      </c>
      <c r="H91" s="319" t="s">
        <v>2327</v>
      </c>
      <c r="I91" s="319" t="s">
        <v>2327</v>
      </c>
      <c r="J91" s="320" t="s">
        <v>2327</v>
      </c>
      <c r="K91" s="321">
        <f t="shared" si="5"/>
        <v>0.67638999999999994</v>
      </c>
      <c r="L91" s="322">
        <f t="shared" si="4"/>
        <v>0.27312684000000004</v>
      </c>
      <c r="M91" s="324">
        <f t="shared" si="6"/>
        <v>0.72687316000000002</v>
      </c>
    </row>
    <row r="92" spans="1:13">
      <c r="A92" s="319" t="s">
        <v>614</v>
      </c>
      <c r="B92" s="319" t="s">
        <v>615</v>
      </c>
      <c r="C92" s="319" t="str">
        <f>INDEX(Countries_Codes[Earning Premium Database],MATCH(B92,Countries_Codes[Country Code 3 digit],0))</f>
        <v>South Asia</v>
      </c>
      <c r="D92" s="319" t="str">
        <f>INDEX(Countries_Codes[Income level, World Bank (2024)],MATCH(B92,Countries_Codes[Country Code 3 digit],0))</f>
        <v>Lower-middle-income countries</v>
      </c>
      <c r="E92" s="319" t="s">
        <v>2328</v>
      </c>
      <c r="F92" s="319">
        <v>2022</v>
      </c>
      <c r="G92" s="320">
        <v>2.674E-2</v>
      </c>
      <c r="H92" s="319" t="s">
        <v>2328</v>
      </c>
      <c r="I92" s="319">
        <v>2022</v>
      </c>
      <c r="J92" s="320">
        <v>0.67037999999999998</v>
      </c>
      <c r="K92" s="321">
        <f t="shared" si="5"/>
        <v>0.67037999999999998</v>
      </c>
      <c r="L92" s="322">
        <f t="shared" si="4"/>
        <v>0.32080596120000004</v>
      </c>
      <c r="M92" s="324">
        <f t="shared" si="6"/>
        <v>0.67919403879999996</v>
      </c>
    </row>
    <row r="93" spans="1:13">
      <c r="A93" s="319" t="s">
        <v>498</v>
      </c>
      <c r="B93" s="319" t="s">
        <v>499</v>
      </c>
      <c r="C93" s="319" t="str">
        <f>INDEX(Countries_Codes[Earning Premium Database],MATCH(B93,Countries_Codes[Country Code 3 digit],0))</f>
        <v>Sub-Saharan Africa</v>
      </c>
      <c r="D93" s="319" t="str">
        <f>INDEX(Countries_Codes[Income level, World Bank (2024)],MATCH(B93,Countries_Codes[Country Code 3 digit],0))</f>
        <v>Lower-middle-income countries</v>
      </c>
      <c r="E93" s="319" t="s">
        <v>2380</v>
      </c>
      <c r="F93" s="319">
        <v>2019</v>
      </c>
      <c r="G93" s="320">
        <v>0.15021000000000001</v>
      </c>
      <c r="H93" s="319" t="s">
        <v>2380</v>
      </c>
      <c r="I93" s="319">
        <v>2019</v>
      </c>
      <c r="J93" s="320">
        <v>0.80854000000000004</v>
      </c>
      <c r="K93" s="321">
        <f t="shared" si="5"/>
        <v>0.80854000000000004</v>
      </c>
      <c r="L93" s="322">
        <f t="shared" si="4"/>
        <v>0.16270079339999999</v>
      </c>
      <c r="M93" s="324">
        <f t="shared" si="6"/>
        <v>0.83729920660000001</v>
      </c>
    </row>
    <row r="94" spans="1:13">
      <c r="A94" s="319" t="s">
        <v>502</v>
      </c>
      <c r="B94" s="319" t="s">
        <v>503</v>
      </c>
      <c r="C94" s="319" t="str">
        <f>INDEX(Countries_Codes[Earning Premium Database],MATCH(B94,Countries_Codes[Country Code 3 digit],0))</f>
        <v>Europe &amp; Central Asia</v>
      </c>
      <c r="D94" s="319" t="str">
        <f>INDEX(Countries_Codes[Income level, World Bank (2024)],MATCH(B94,Countries_Codes[Country Code 3 digit],0))</f>
        <v>High-income countries</v>
      </c>
      <c r="E94" s="319" t="s">
        <v>2336</v>
      </c>
      <c r="F94" s="319">
        <v>2024</v>
      </c>
      <c r="G94" s="320">
        <v>6.5000000000000002E-2</v>
      </c>
      <c r="H94" s="319" t="s">
        <v>2334</v>
      </c>
      <c r="I94" s="319">
        <v>2023</v>
      </c>
      <c r="J94" s="320">
        <v>3.1390000000000001E-2</v>
      </c>
      <c r="K94" s="321">
        <f t="shared" si="5"/>
        <v>3.1390000000000001E-2</v>
      </c>
      <c r="L94" s="322">
        <f t="shared" si="4"/>
        <v>0.90565035000000005</v>
      </c>
      <c r="M94" s="324">
        <f t="shared" si="6"/>
        <v>9.4349649999999952E-2</v>
      </c>
    </row>
    <row r="95" spans="1:13">
      <c r="A95" s="319" t="s">
        <v>504</v>
      </c>
      <c r="B95" s="319" t="s">
        <v>505</v>
      </c>
      <c r="C95" s="319" t="str">
        <f>INDEX(Countries_Codes[Earning Premium Database],MATCH(B95,Countries_Codes[Country Code 3 digit],0))</f>
        <v>Europe &amp; Central Asia</v>
      </c>
      <c r="D95" s="319" t="str">
        <f>INDEX(Countries_Codes[Income level, World Bank (2024)],MATCH(B95,Countries_Codes[Country Code 3 digit],0))</f>
        <v>High-income countries</v>
      </c>
      <c r="E95" s="319" t="s">
        <v>2336</v>
      </c>
      <c r="F95" s="319">
        <v>2024</v>
      </c>
      <c r="G95" s="320">
        <v>5.0999999999999997E-2</v>
      </c>
      <c r="H95" s="319" t="s">
        <v>2334</v>
      </c>
      <c r="I95" s="319">
        <v>2023</v>
      </c>
      <c r="J95" s="320">
        <v>3.4620000000000005E-2</v>
      </c>
      <c r="K95" s="321">
        <f t="shared" si="5"/>
        <v>3.4620000000000005E-2</v>
      </c>
      <c r="L95" s="322">
        <f t="shared" si="4"/>
        <v>0.91614561999999999</v>
      </c>
      <c r="M95" s="324">
        <f t="shared" si="6"/>
        <v>8.3854380000000006E-2</v>
      </c>
    </row>
    <row r="96" spans="1:13">
      <c r="A96" s="319" t="s">
        <v>494</v>
      </c>
      <c r="B96" s="319" t="s">
        <v>495</v>
      </c>
      <c r="C96" s="319" t="str">
        <f>INDEX(Countries_Codes[Earning Premium Database],MATCH(B96,Countries_Codes[Country Code 3 digit],0))</f>
        <v>Europe &amp; Central Asia</v>
      </c>
      <c r="D96" s="319" t="str">
        <f>INDEX(Countries_Codes[Income level, World Bank (2024)],MATCH(B96,Countries_Codes[Country Code 3 digit],0))</f>
        <v>High-income countries</v>
      </c>
      <c r="E96" s="319" t="s">
        <v>2336</v>
      </c>
      <c r="F96" s="319">
        <v>2024</v>
      </c>
      <c r="G96" s="320">
        <v>6.4000000000000001E-2</v>
      </c>
      <c r="H96" s="319" t="s">
        <v>2334</v>
      </c>
      <c r="I96" s="319">
        <v>2023</v>
      </c>
      <c r="J96" s="320">
        <v>2.3959999999999999E-2</v>
      </c>
      <c r="K96" s="321">
        <f t="shared" si="5"/>
        <v>2.3959999999999999E-2</v>
      </c>
      <c r="L96" s="322">
        <f t="shared" si="4"/>
        <v>0.91357343999999996</v>
      </c>
      <c r="M96" s="324">
        <f t="shared" si="6"/>
        <v>8.6426560000000041E-2</v>
      </c>
    </row>
    <row r="97" spans="1:13">
      <c r="A97" s="319" t="s">
        <v>2381</v>
      </c>
      <c r="B97" s="319" t="s">
        <v>507</v>
      </c>
      <c r="C97" s="319" t="str">
        <f>INDEX(Countries_Codes[Earning Premium Database],MATCH(B97,Countries_Codes[Country Code 3 digit],0))</f>
        <v>East Asia &amp; Pacific</v>
      </c>
      <c r="D97" s="319" t="str">
        <f>INDEX(Countries_Codes[Income level, World Bank (2024)],MATCH(B97,Countries_Codes[Country Code 3 digit],0))</f>
        <v>High-income countries</v>
      </c>
      <c r="E97" s="319" t="s">
        <v>2329</v>
      </c>
      <c r="F97" s="319">
        <v>2020</v>
      </c>
      <c r="G97" s="320">
        <v>2.2250000000000002E-2</v>
      </c>
      <c r="H97" s="319" t="s">
        <v>2327</v>
      </c>
      <c r="I97" s="319" t="s">
        <v>2327</v>
      </c>
      <c r="J97" s="320" t="s">
        <v>2327</v>
      </c>
      <c r="K97" s="321">
        <f t="shared" si="5"/>
        <v>0.27546999999999999</v>
      </c>
      <c r="L97" s="322">
        <f t="shared" si="4"/>
        <v>0.70840920750000003</v>
      </c>
      <c r="M97" s="324">
        <f t="shared" si="6"/>
        <v>0.29159079249999997</v>
      </c>
    </row>
    <row r="98" spans="1:13">
      <c r="A98" s="319" t="s">
        <v>536</v>
      </c>
      <c r="B98" s="319" t="s">
        <v>537</v>
      </c>
      <c r="C98" s="319" t="str">
        <f>INDEX(Countries_Codes[Earning Premium Database],MATCH(B98,Countries_Codes[Country Code 3 digit],0))</f>
        <v>Middle East &amp; North Africa</v>
      </c>
      <c r="D98" s="319" t="str">
        <f>INDEX(Countries_Codes[Income level, World Bank (2024)],MATCH(B98,Countries_Codes[Country Code 3 digit],0))</f>
        <v>Lower-middle-income countries</v>
      </c>
      <c r="E98" s="319" t="s">
        <v>2346</v>
      </c>
      <c r="F98" s="319">
        <v>2022</v>
      </c>
      <c r="G98" s="320">
        <v>9.1999999999999998E-2</v>
      </c>
      <c r="H98" s="319" t="s">
        <v>2327</v>
      </c>
      <c r="I98" s="319" t="s">
        <v>2327</v>
      </c>
      <c r="J98" s="320" t="s">
        <v>2327</v>
      </c>
      <c r="K98" s="321">
        <f t="shared" ref="K98:K129" si="7">IF(J98="",IFERROR(AVERAGEIFS($J$2:$J$178,$J$2:$J$178,"&lt;&gt;""",$C$2:$C$178,$C98,$D$2:$D$178,D98),AVERAGEIFS($J$2:$J$178,$J$2:$J$178,"&lt;&gt;""",$D$2:$D$178,D98)),J98)</f>
        <v>0.52967666666666668</v>
      </c>
      <c r="L98" s="322">
        <f t="shared" si="4"/>
        <v>0.42705358666666665</v>
      </c>
      <c r="M98" s="324">
        <f t="shared" si="6"/>
        <v>0.57294641333333329</v>
      </c>
    </row>
    <row r="99" spans="1:13">
      <c r="A99" s="319" t="s">
        <v>706</v>
      </c>
      <c r="B99" s="319" t="s">
        <v>707</v>
      </c>
      <c r="C99" s="319" t="str">
        <f>INDEX(Countries_Codes[Earning Premium Database],MATCH(B99,Countries_Codes[Country Code 3 digit],0))</f>
        <v>Europe &amp; Central Asia</v>
      </c>
      <c r="D99" s="319" t="str">
        <f>INDEX(Countries_Codes[Income level, World Bank (2024)],MATCH(B99,Countries_Codes[Country Code 3 digit],0))</f>
        <v>High-income countries</v>
      </c>
      <c r="E99" s="319" t="s">
        <v>2330</v>
      </c>
      <c r="F99" s="319">
        <v>2016</v>
      </c>
      <c r="G99" s="320">
        <v>5.4299999999999994E-2</v>
      </c>
      <c r="H99" s="319" t="s">
        <v>2327</v>
      </c>
      <c r="I99" s="319" t="s">
        <v>2327</v>
      </c>
      <c r="J99" s="320" t="s">
        <v>2327</v>
      </c>
      <c r="K99" s="321">
        <f t="shared" si="7"/>
        <v>3.0943437499999994E-2</v>
      </c>
      <c r="L99" s="322">
        <f t="shared" si="4"/>
        <v>0.91643679115624999</v>
      </c>
      <c r="M99" s="324">
        <f t="shared" si="6"/>
        <v>8.3563208843750014E-2</v>
      </c>
    </row>
    <row r="100" spans="1:13">
      <c r="A100" s="319" t="s">
        <v>2382</v>
      </c>
      <c r="B100" s="319" t="s">
        <v>531</v>
      </c>
      <c r="C100" s="319" t="str">
        <f>INDEX(Countries_Codes[Earning Premium Database],MATCH(B100,Countries_Codes[Country Code 3 digit],0))</f>
        <v>Europe &amp; Central Asia</v>
      </c>
      <c r="D100" s="319" t="str">
        <f>INDEX(Countries_Codes[Income level, World Bank (2024)],MATCH(B100,Countries_Codes[Country Code 3 digit],0))</f>
        <v>Upper-middle-income countries</v>
      </c>
      <c r="E100" s="319" t="s">
        <v>2328</v>
      </c>
      <c r="F100" s="319">
        <v>2024</v>
      </c>
      <c r="G100" s="320">
        <v>1.2350000000000002E-2</v>
      </c>
      <c r="H100" s="319" t="s">
        <v>2328</v>
      </c>
      <c r="I100" s="319">
        <v>2024</v>
      </c>
      <c r="J100" s="320">
        <v>0.52222000000000002</v>
      </c>
      <c r="K100" s="321">
        <f t="shared" si="7"/>
        <v>0.52222000000000002</v>
      </c>
      <c r="L100" s="322">
        <f t="shared" si="4"/>
        <v>0.47187941700000002</v>
      </c>
      <c r="M100" s="324">
        <f t="shared" si="6"/>
        <v>0.52812058299999998</v>
      </c>
    </row>
    <row r="101" spans="1:13">
      <c r="A101" s="319" t="s">
        <v>510</v>
      </c>
      <c r="B101" s="319" t="s">
        <v>511</v>
      </c>
      <c r="C101" s="319" t="str">
        <f>INDEX(Countries_Codes[Earning Premium Database],MATCH(B101,Countries_Codes[Country Code 3 digit],0))</f>
        <v>Sub-Saharan Africa</v>
      </c>
      <c r="D101" s="319" t="str">
        <f>INDEX(Countries_Codes[Income level, World Bank (2024)],MATCH(B101,Countries_Codes[Country Code 3 digit],0))</f>
        <v>Low-income countries</v>
      </c>
      <c r="E101" s="319" t="s">
        <v>2383</v>
      </c>
      <c r="F101" s="319">
        <v>2022</v>
      </c>
      <c r="G101" s="320">
        <v>2.215E-2</v>
      </c>
      <c r="H101" s="319" t="s">
        <v>2383</v>
      </c>
      <c r="I101" s="319">
        <v>2022</v>
      </c>
      <c r="J101" s="320">
        <v>0.96082999999999996</v>
      </c>
      <c r="K101" s="321">
        <f t="shared" si="7"/>
        <v>0.96082999999999996</v>
      </c>
      <c r="L101" s="322">
        <f t="shared" si="4"/>
        <v>3.8302384500000036E-2</v>
      </c>
      <c r="M101" s="324">
        <f t="shared" si="6"/>
        <v>0.96169761549999999</v>
      </c>
    </row>
    <row r="102" spans="1:13">
      <c r="A102" s="319" t="s">
        <v>516</v>
      </c>
      <c r="B102" s="319" t="s">
        <v>517</v>
      </c>
      <c r="C102" s="319" t="str">
        <f>INDEX(Countries_Codes[Earning Premium Database],MATCH(B102,Countries_Codes[Country Code 3 digit],0))</f>
        <v>South Asia</v>
      </c>
      <c r="D102" s="319" t="str">
        <f>INDEX(Countries_Codes[Income level, World Bank (2024)],MATCH(B102,Countries_Codes[Country Code 3 digit],0))</f>
        <v>Upper-middle-income countries</v>
      </c>
      <c r="E102" s="319" t="s">
        <v>2363</v>
      </c>
      <c r="F102" s="319">
        <v>2019</v>
      </c>
      <c r="G102" s="320">
        <v>2.751E-2</v>
      </c>
      <c r="H102" s="319" t="s">
        <v>2363</v>
      </c>
      <c r="I102" s="319">
        <v>2019</v>
      </c>
      <c r="J102" s="320">
        <v>0.48146</v>
      </c>
      <c r="K102" s="321">
        <f t="shared" si="7"/>
        <v>0.48146</v>
      </c>
      <c r="L102" s="322">
        <f t="shared" si="4"/>
        <v>0.50427496459999999</v>
      </c>
      <c r="M102" s="324">
        <f t="shared" si="6"/>
        <v>0.49572503540000001</v>
      </c>
    </row>
    <row r="103" spans="1:13">
      <c r="A103" s="319" t="s">
        <v>526</v>
      </c>
      <c r="B103" s="319" t="s">
        <v>527</v>
      </c>
      <c r="C103" s="319" t="str">
        <f>INDEX(Countries_Codes[Earning Premium Database],MATCH(B103,Countries_Codes[Country Code 3 digit],0))</f>
        <v>Latin America &amp; Caribbean</v>
      </c>
      <c r="D103" s="319" t="str">
        <f>INDEX(Countries_Codes[Income level, World Bank (2024)],MATCH(B103,Countries_Codes[Country Code 3 digit],0))</f>
        <v>Upper-middle-income countries</v>
      </c>
      <c r="E103" s="319" t="s">
        <v>2384</v>
      </c>
      <c r="F103" s="319">
        <v>2025</v>
      </c>
      <c r="G103" s="320">
        <v>1.932E-2</v>
      </c>
      <c r="H103" s="319" t="s">
        <v>2384</v>
      </c>
      <c r="I103" s="319">
        <v>2025</v>
      </c>
      <c r="J103" s="320">
        <v>0.55532999999999999</v>
      </c>
      <c r="K103" s="321">
        <f t="shared" si="7"/>
        <v>0.55532999999999999</v>
      </c>
      <c r="L103" s="322">
        <f t="shared" si="4"/>
        <v>0.43607897560000003</v>
      </c>
      <c r="M103" s="324">
        <f t="shared" si="6"/>
        <v>0.56392102439999992</v>
      </c>
    </row>
    <row r="104" spans="1:13">
      <c r="A104" s="319" t="s">
        <v>760</v>
      </c>
      <c r="B104" s="319" t="s">
        <v>509</v>
      </c>
      <c r="C104" s="319" t="str">
        <f>INDEX(Countries_Codes[Earning Premium Database],MATCH(B104,Countries_Codes[Country Code 3 digit],0))</f>
        <v>Europe &amp; Central Asia</v>
      </c>
      <c r="D104" s="319" t="str">
        <f>INDEX(Countries_Codes[Income level, World Bank (2024)],MATCH(B104,Countries_Codes[Country Code 3 digit],0))</f>
        <v>Upper-middle-income countries</v>
      </c>
      <c r="E104" s="319" t="s">
        <v>2328</v>
      </c>
      <c r="F104" s="319">
        <v>2024</v>
      </c>
      <c r="G104" s="320">
        <v>0.10859000000000001</v>
      </c>
      <c r="H104" s="319" t="s">
        <v>2328</v>
      </c>
      <c r="I104" s="319">
        <v>2024</v>
      </c>
      <c r="J104" s="320">
        <v>0.11089</v>
      </c>
      <c r="K104" s="321">
        <f t="shared" si="7"/>
        <v>0.11089</v>
      </c>
      <c r="L104" s="322">
        <f t="shared" si="4"/>
        <v>0.79256154509999999</v>
      </c>
      <c r="M104" s="324">
        <f t="shared" si="6"/>
        <v>0.20743845490000001</v>
      </c>
    </row>
    <row r="105" spans="1:13">
      <c r="A105" s="319" t="s">
        <v>518</v>
      </c>
      <c r="B105" s="319" t="s">
        <v>519</v>
      </c>
      <c r="C105" s="319" t="str">
        <f>INDEX(Countries_Codes[Earning Premium Database],MATCH(B105,Countries_Codes[Country Code 3 digit],0))</f>
        <v>Sub-Saharan Africa</v>
      </c>
      <c r="D105" s="319" t="str">
        <f>INDEX(Countries_Codes[Income level, World Bank (2024)],MATCH(B105,Countries_Codes[Country Code 3 digit],0))</f>
        <v>Low-income countries</v>
      </c>
      <c r="E105" s="319" t="s">
        <v>2366</v>
      </c>
      <c r="F105" s="319">
        <v>2022</v>
      </c>
      <c r="G105" s="320">
        <v>2.1030000000000004E-2</v>
      </c>
      <c r="H105" s="319" t="s">
        <v>2366</v>
      </c>
      <c r="I105" s="319">
        <v>2022</v>
      </c>
      <c r="J105" s="320">
        <v>0.95416000000000001</v>
      </c>
      <c r="K105" s="321">
        <f t="shared" si="7"/>
        <v>0.95416000000000001</v>
      </c>
      <c r="L105" s="322">
        <f t="shared" si="4"/>
        <v>4.4875984799999991E-2</v>
      </c>
      <c r="M105" s="324">
        <f t="shared" si="6"/>
        <v>0.95512401520000001</v>
      </c>
    </row>
    <row r="106" spans="1:13">
      <c r="A106" s="319" t="s">
        <v>520</v>
      </c>
      <c r="B106" s="319" t="s">
        <v>521</v>
      </c>
      <c r="C106" s="319" t="str">
        <f>INDEX(Countries_Codes[Earning Premium Database],MATCH(B106,Countries_Codes[Country Code 3 digit],0))</f>
        <v>Europe &amp; Central Asia</v>
      </c>
      <c r="D106" s="319" t="str">
        <f>INDEX(Countries_Codes[Income level, World Bank (2024)],MATCH(B106,Countries_Codes[Country Code 3 digit],0))</f>
        <v>High-income countries</v>
      </c>
      <c r="E106" s="319" t="s">
        <v>2328</v>
      </c>
      <c r="F106" s="319">
        <v>2024</v>
      </c>
      <c r="G106" s="320">
        <v>2.5000000000000001E-2</v>
      </c>
      <c r="H106" s="319" t="s">
        <v>2334</v>
      </c>
      <c r="I106" s="319">
        <v>2021</v>
      </c>
      <c r="J106" s="320">
        <v>7.3499999999999998E-3</v>
      </c>
      <c r="K106" s="321">
        <f t="shared" si="7"/>
        <v>7.3499999999999998E-3</v>
      </c>
      <c r="L106" s="322">
        <f t="shared" si="4"/>
        <v>0.96783375000000005</v>
      </c>
      <c r="M106" s="324">
        <f t="shared" si="6"/>
        <v>3.2166249999999952E-2</v>
      </c>
    </row>
    <row r="107" spans="1:13">
      <c r="A107" s="319" t="s">
        <v>540</v>
      </c>
      <c r="B107" s="319" t="s">
        <v>541</v>
      </c>
      <c r="C107" s="319" t="str">
        <f>INDEX(Countries_Codes[Earning Premium Database],MATCH(B107,Countries_Codes[Country Code 3 digit],0))</f>
        <v>East Asia &amp; Pacific</v>
      </c>
      <c r="D107" s="319" t="str">
        <f>INDEX(Countries_Codes[Income level, World Bank (2024)],MATCH(B107,Countries_Codes[Country Code 3 digit],0))</f>
        <v>Lower-middle-income countries</v>
      </c>
      <c r="E107" s="319" t="s">
        <v>2328</v>
      </c>
      <c r="F107" s="319">
        <v>2020</v>
      </c>
      <c r="G107" s="320">
        <v>7.4599999999999996E-3</v>
      </c>
      <c r="H107" s="319" t="s">
        <v>2328</v>
      </c>
      <c r="I107" s="319">
        <v>2020</v>
      </c>
      <c r="J107" s="320">
        <v>0.80959999999999999</v>
      </c>
      <c r="K107" s="321">
        <f t="shared" si="7"/>
        <v>0.80959999999999999</v>
      </c>
      <c r="L107" s="322">
        <f t="shared" si="4"/>
        <v>0.18897961600000002</v>
      </c>
      <c r="M107" s="324">
        <f t="shared" si="6"/>
        <v>0.81102038399999998</v>
      </c>
    </row>
    <row r="108" spans="1:13">
      <c r="A108" s="319" t="s">
        <v>534</v>
      </c>
      <c r="B108" s="319" t="s">
        <v>535</v>
      </c>
      <c r="C108" s="319" t="str">
        <f>INDEX(Countries_Codes[Earning Premium Database],MATCH(B108,Countries_Codes[Country Code 3 digit],0))</f>
        <v>Europe &amp; Central Asia</v>
      </c>
      <c r="D108" s="319" t="str">
        <f>INDEX(Countries_Codes[Income level, World Bank (2024)],MATCH(B108,Countries_Codes[Country Code 3 digit],0))</f>
        <v>Upper-middle-income countries</v>
      </c>
      <c r="E108" s="319" t="s">
        <v>2328</v>
      </c>
      <c r="F108" s="319">
        <v>2023</v>
      </c>
      <c r="G108" s="320">
        <v>0.11867000000000001</v>
      </c>
      <c r="H108" s="319" t="s">
        <v>2327</v>
      </c>
      <c r="I108" s="319" t="s">
        <v>2327</v>
      </c>
      <c r="J108" s="320" t="s">
        <v>2327</v>
      </c>
      <c r="K108" s="321">
        <f t="shared" si="7"/>
        <v>0.33085285714285717</v>
      </c>
      <c r="L108" s="322">
        <f t="shared" si="4"/>
        <v>0.58973945141428563</v>
      </c>
      <c r="M108" s="324">
        <f t="shared" si="6"/>
        <v>0.41026054858571437</v>
      </c>
    </row>
    <row r="109" spans="1:13">
      <c r="A109" s="319" t="s">
        <v>532</v>
      </c>
      <c r="B109" s="319" t="s">
        <v>533</v>
      </c>
      <c r="C109" s="319" t="str">
        <f>INDEX(Countries_Codes[Earning Premium Database],MATCH(B109,Countries_Codes[Country Code 3 digit],0))</f>
        <v>East Asia &amp; Pacific</v>
      </c>
      <c r="D109" s="319" t="str">
        <f>INDEX(Countries_Codes[Income level, World Bank (2024)],MATCH(B109,Countries_Codes[Country Code 3 digit],0))</f>
        <v>Upper-middle-income countries</v>
      </c>
      <c r="E109" s="319" t="s">
        <v>2328</v>
      </c>
      <c r="F109" s="319">
        <v>2023</v>
      </c>
      <c r="G109" s="320">
        <v>4.5030000000000001E-2</v>
      </c>
      <c r="H109" s="319" t="s">
        <v>2328</v>
      </c>
      <c r="I109" s="319">
        <v>2023</v>
      </c>
      <c r="J109" s="320">
        <v>0.41942000000000002</v>
      </c>
      <c r="K109" s="321">
        <f t="shared" si="7"/>
        <v>0.41942000000000002</v>
      </c>
      <c r="L109" s="322">
        <f t="shared" si="4"/>
        <v>0.5544364826</v>
      </c>
      <c r="M109" s="324">
        <f t="shared" si="6"/>
        <v>0.4455635174</v>
      </c>
    </row>
    <row r="110" spans="1:13">
      <c r="A110" s="319" t="s">
        <v>538</v>
      </c>
      <c r="B110" s="319" t="s">
        <v>539</v>
      </c>
      <c r="C110" s="319" t="str">
        <f>INDEX(Countries_Codes[Earning Premium Database],MATCH(B110,Countries_Codes[Country Code 3 digit],0))</f>
        <v>Sub-Saharan Africa</v>
      </c>
      <c r="D110" s="319" t="str">
        <f>INDEX(Countries_Codes[Income level, World Bank (2024)],MATCH(B110,Countries_Codes[Country Code 3 digit],0))</f>
        <v>Low-income countries</v>
      </c>
      <c r="E110" s="319" t="s">
        <v>2385</v>
      </c>
      <c r="F110" s="319">
        <v>2022</v>
      </c>
      <c r="G110" s="320">
        <v>4.7009999999999996E-2</v>
      </c>
      <c r="H110" s="319" t="s">
        <v>2385</v>
      </c>
      <c r="I110" s="319">
        <v>2015</v>
      </c>
      <c r="J110" s="320">
        <v>0.95672999999999997</v>
      </c>
      <c r="K110" s="321">
        <f t="shared" si="7"/>
        <v>0.95672999999999997</v>
      </c>
      <c r="L110" s="322">
        <f t="shared" si="4"/>
        <v>4.1235877300000029E-2</v>
      </c>
      <c r="M110" s="324">
        <f t="shared" si="6"/>
        <v>0.9587641227</v>
      </c>
    </row>
    <row r="111" spans="1:13">
      <c r="A111" s="319" t="s">
        <v>522</v>
      </c>
      <c r="B111" s="319" t="s">
        <v>523</v>
      </c>
      <c r="C111" s="319" t="str">
        <f>INDEX(Countries_Codes[Earning Premium Database],MATCH(B111,Countries_Codes[Country Code 3 digit],0))</f>
        <v>Sub-Saharan Africa</v>
      </c>
      <c r="D111" s="319" t="str">
        <f>INDEX(Countries_Codes[Income level, World Bank (2024)],MATCH(B111,Countries_Codes[Country Code 3 digit],0))</f>
        <v>Lower-middle-income countries</v>
      </c>
      <c r="E111" s="319" t="s">
        <v>2335</v>
      </c>
      <c r="F111" s="319">
        <v>2019</v>
      </c>
      <c r="G111" s="320">
        <v>7.5749999999999998E-2</v>
      </c>
      <c r="H111" s="319" t="s">
        <v>2335</v>
      </c>
      <c r="I111" s="319">
        <v>2019</v>
      </c>
      <c r="J111" s="320">
        <v>0.89355000000000007</v>
      </c>
      <c r="K111" s="321">
        <f t="shared" si="7"/>
        <v>0.89355000000000007</v>
      </c>
      <c r="L111" s="322">
        <f t="shared" si="4"/>
        <v>9.8386412499999937E-2</v>
      </c>
      <c r="M111" s="324">
        <f t="shared" si="6"/>
        <v>0.90161358750000009</v>
      </c>
    </row>
    <row r="112" spans="1:13">
      <c r="A112" s="319" t="s">
        <v>524</v>
      </c>
      <c r="B112" s="319" t="s">
        <v>525</v>
      </c>
      <c r="C112" s="319" t="str">
        <f>INDEX(Countries_Codes[Earning Premium Database],MATCH(B112,Countries_Codes[Country Code 3 digit],0))</f>
        <v>Sub-Saharan Africa</v>
      </c>
      <c r="D112" s="319" t="str">
        <f>INDEX(Countries_Codes[Income level, World Bank (2024)],MATCH(B112,Countries_Codes[Country Code 3 digit],0))</f>
        <v>Upper-middle-income countries</v>
      </c>
      <c r="E112" s="319" t="s">
        <v>2386</v>
      </c>
      <c r="F112" s="319">
        <v>2023</v>
      </c>
      <c r="G112" s="320">
        <v>4.165E-2</v>
      </c>
      <c r="H112" s="319" t="s">
        <v>2386</v>
      </c>
      <c r="I112" s="319">
        <v>2023</v>
      </c>
      <c r="J112" s="320">
        <v>0.33907999999999999</v>
      </c>
      <c r="K112" s="321">
        <f t="shared" si="7"/>
        <v>0.33907999999999999</v>
      </c>
      <c r="L112" s="322">
        <f t="shared" ref="L112:L164" si="8">(1-G112)*(1-K112)</f>
        <v>0.63339268199999998</v>
      </c>
      <c r="M112" s="324">
        <f t="shared" si="6"/>
        <v>0.36660731800000002</v>
      </c>
    </row>
    <row r="113" spans="1:13">
      <c r="A113" s="319" t="s">
        <v>512</v>
      </c>
      <c r="B113" s="319" t="s">
        <v>513</v>
      </c>
      <c r="C113" s="319" t="str">
        <f>INDEX(Countries_Codes[Earning Premium Database],MATCH(B113,Countries_Codes[Country Code 3 digit],0))</f>
        <v>Sub-Saharan Africa</v>
      </c>
      <c r="D113" s="319" t="str">
        <f>INDEX(Countries_Codes[Income level, World Bank (2024)],MATCH(B113,Countries_Codes[Country Code 3 digit],0))</f>
        <v>Low-income countries</v>
      </c>
      <c r="E113" s="319" t="s">
        <v>2387</v>
      </c>
      <c r="F113" s="319">
        <v>2020</v>
      </c>
      <c r="G113" s="320">
        <v>7.6300000000000005E-3</v>
      </c>
      <c r="H113" s="319" t="s">
        <v>2328</v>
      </c>
      <c r="I113" s="319">
        <v>2013</v>
      </c>
      <c r="J113" s="320">
        <v>0.87078999999999995</v>
      </c>
      <c r="K113" s="321">
        <f t="shared" si="7"/>
        <v>0.87078999999999995</v>
      </c>
      <c r="L113" s="322">
        <f t="shared" si="8"/>
        <v>0.12822412770000005</v>
      </c>
      <c r="M113" s="324">
        <f t="shared" si="6"/>
        <v>0.87177587229999998</v>
      </c>
    </row>
    <row r="114" spans="1:13">
      <c r="A114" s="319" t="s">
        <v>514</v>
      </c>
      <c r="B114" s="319" t="s">
        <v>515</v>
      </c>
      <c r="C114" s="319" t="str">
        <f>INDEX(Countries_Codes[Earning Premium Database],MATCH(B114,Countries_Codes[Country Code 3 digit],0))</f>
        <v>East Asia &amp; Pacific</v>
      </c>
      <c r="D114" s="319" t="str">
        <f>INDEX(Countries_Codes[Income level, World Bank (2024)],MATCH(B114,Countries_Codes[Country Code 3 digit],0))</f>
        <v>Upper-middle-income countries</v>
      </c>
      <c r="E114" s="319" t="s">
        <v>2328</v>
      </c>
      <c r="F114" s="319">
        <v>2022</v>
      </c>
      <c r="G114" s="320">
        <v>2.3300000000000001E-2</v>
      </c>
      <c r="H114" s="319" t="s">
        <v>2327</v>
      </c>
      <c r="I114" s="319" t="s">
        <v>2327</v>
      </c>
      <c r="J114" s="320" t="s">
        <v>2327</v>
      </c>
      <c r="K114" s="321">
        <f t="shared" si="7"/>
        <v>0.56334800000000007</v>
      </c>
      <c r="L114" s="322">
        <f t="shared" si="8"/>
        <v>0.42647800839999994</v>
      </c>
      <c r="M114" s="324">
        <f t="shared" si="6"/>
        <v>0.57352199160000006</v>
      </c>
    </row>
    <row r="115" spans="1:13">
      <c r="A115" s="319" t="s">
        <v>542</v>
      </c>
      <c r="B115" s="319" t="s">
        <v>543</v>
      </c>
      <c r="C115" s="319" t="str">
        <f>INDEX(Countries_Codes[Earning Premium Database],MATCH(B115,Countries_Codes[Country Code 3 digit],0))</f>
        <v>Sub-Saharan Africa</v>
      </c>
      <c r="D115" s="319" t="str">
        <f>INDEX(Countries_Codes[Income level, World Bank (2024)],MATCH(B115,Countries_Codes[Country Code 3 digit],0))</f>
        <v>Lower-middle-income countries</v>
      </c>
      <c r="E115" s="319" t="s">
        <v>2328</v>
      </c>
      <c r="F115" s="319">
        <v>2018</v>
      </c>
      <c r="G115" s="320">
        <v>0.16571000000000002</v>
      </c>
      <c r="H115" s="319" t="s">
        <v>2328</v>
      </c>
      <c r="I115" s="319">
        <v>2018</v>
      </c>
      <c r="J115" s="320">
        <v>0.55758000000000008</v>
      </c>
      <c r="K115" s="321">
        <f t="shared" si="7"/>
        <v>0.55758000000000008</v>
      </c>
      <c r="L115" s="322">
        <f t="shared" si="8"/>
        <v>0.36910658179999994</v>
      </c>
      <c r="M115" s="324">
        <f t="shared" si="6"/>
        <v>0.63089341820000011</v>
      </c>
    </row>
    <row r="116" spans="1:13">
      <c r="A116" s="319" t="s">
        <v>708</v>
      </c>
      <c r="B116" s="319" t="s">
        <v>709</v>
      </c>
      <c r="C116" s="319" t="str">
        <f>INDEX(Countries_Codes[Earning Premium Database],MATCH(B116,Countries_Codes[Country Code 3 digit],0))</f>
        <v>East Asia &amp; Pacific</v>
      </c>
      <c r="D116" s="319" t="str">
        <f>INDEX(Countries_Codes[Income level, World Bank (2024)],MATCH(B116,Countries_Codes[Country Code 3 digit],0))</f>
        <v>High-income countries</v>
      </c>
      <c r="E116" s="319" t="s">
        <v>2328</v>
      </c>
      <c r="F116" s="319">
        <v>2022</v>
      </c>
      <c r="G116" s="320">
        <v>7.7350000000000002E-2</v>
      </c>
      <c r="H116" s="319" t="s">
        <v>2327</v>
      </c>
      <c r="I116" s="319" t="s">
        <v>2327</v>
      </c>
      <c r="J116" s="320" t="s">
        <v>2327</v>
      </c>
      <c r="K116" s="321">
        <f t="shared" si="7"/>
        <v>0.27546999999999999</v>
      </c>
      <c r="L116" s="322">
        <f t="shared" si="8"/>
        <v>0.6684876045</v>
      </c>
      <c r="M116" s="324">
        <f t="shared" si="6"/>
        <v>0.3315123955</v>
      </c>
    </row>
    <row r="117" spans="1:13">
      <c r="A117" s="319" t="s">
        <v>552</v>
      </c>
      <c r="B117" s="319" t="s">
        <v>553</v>
      </c>
      <c r="C117" s="319" t="str">
        <f>INDEX(Countries_Codes[Earning Premium Database],MATCH(B117,Countries_Codes[Country Code 3 digit],0))</f>
        <v>Sub-Saharan Africa</v>
      </c>
      <c r="D117" s="319" t="str">
        <f>INDEX(Countries_Codes[Income level, World Bank (2024)],MATCH(B117,Countries_Codes[Country Code 3 digit],0))</f>
        <v>Low-income countries</v>
      </c>
      <c r="E117" s="319" t="s">
        <v>2388</v>
      </c>
      <c r="F117" s="319">
        <v>2022</v>
      </c>
      <c r="G117" s="320">
        <v>4.0500000000000006E-3</v>
      </c>
      <c r="H117" s="319" t="s">
        <v>2388</v>
      </c>
      <c r="I117" s="319">
        <v>2022</v>
      </c>
      <c r="J117" s="320">
        <v>0.9849</v>
      </c>
      <c r="K117" s="321">
        <f t="shared" si="7"/>
        <v>0.9849</v>
      </c>
      <c r="L117" s="322">
        <f t="shared" si="8"/>
        <v>1.5038845000000002E-2</v>
      </c>
      <c r="M117" s="324">
        <f t="shared" si="6"/>
        <v>0.98496115500000003</v>
      </c>
    </row>
    <row r="118" spans="1:13">
      <c r="A118" s="319" t="s">
        <v>554</v>
      </c>
      <c r="B118" s="319" t="s">
        <v>555</v>
      </c>
      <c r="C118" s="319" t="str">
        <f>INDEX(Countries_Codes[Earning Premium Database],MATCH(B118,Countries_Codes[Country Code 3 digit],0))</f>
        <v>Sub-Saharan Africa</v>
      </c>
      <c r="D118" s="319" t="str">
        <f>INDEX(Countries_Codes[Income level, World Bank (2024)],MATCH(B118,Countries_Codes[Country Code 3 digit],0))</f>
        <v>Lower-middle-income countries</v>
      </c>
      <c r="E118" s="319" t="s">
        <v>2389</v>
      </c>
      <c r="F118" s="319">
        <v>2023</v>
      </c>
      <c r="G118" s="320">
        <v>2.3269999999999999E-2</v>
      </c>
      <c r="H118" s="319" t="s">
        <v>2327</v>
      </c>
      <c r="I118" s="319" t="s">
        <v>2327</v>
      </c>
      <c r="J118" s="320" t="s">
        <v>2327</v>
      </c>
      <c r="K118" s="321">
        <f t="shared" si="7"/>
        <v>0.83828666666666674</v>
      </c>
      <c r="L118" s="322">
        <f t="shared" si="8"/>
        <v>0.1579502640666666</v>
      </c>
      <c r="M118" s="324">
        <f t="shared" si="6"/>
        <v>0.84204973593333343</v>
      </c>
    </row>
    <row r="119" spans="1:13">
      <c r="A119" s="319" t="s">
        <v>550</v>
      </c>
      <c r="B119" s="319" t="s">
        <v>551</v>
      </c>
      <c r="C119" s="319" t="str">
        <f>INDEX(Countries_Codes[Earning Premium Database],MATCH(B119,Countries_Codes[Country Code 3 digit],0))</f>
        <v>Latin America &amp; Caribbean</v>
      </c>
      <c r="D119" s="319" t="str">
        <f>INDEX(Countries_Codes[Income level, World Bank (2024)],MATCH(B119,Countries_Codes[Country Code 3 digit],0))</f>
        <v>Lower-middle-income countries</v>
      </c>
      <c r="E119" s="319" t="s">
        <v>2390</v>
      </c>
      <c r="F119" s="319">
        <v>2014</v>
      </c>
      <c r="G119" s="320">
        <v>3.2669999999999998E-2</v>
      </c>
      <c r="H119" s="319" t="s">
        <v>2391</v>
      </c>
      <c r="I119" s="319">
        <v>2012</v>
      </c>
      <c r="J119" s="320">
        <v>0.81789000000000001</v>
      </c>
      <c r="K119" s="321">
        <f t="shared" si="7"/>
        <v>0.81789000000000001</v>
      </c>
      <c r="L119" s="322">
        <f t="shared" si="8"/>
        <v>0.17616046629999998</v>
      </c>
      <c r="M119" s="324">
        <f t="shared" si="6"/>
        <v>0.82383953369999996</v>
      </c>
    </row>
    <row r="120" spans="1:13">
      <c r="A120" s="319" t="s">
        <v>546</v>
      </c>
      <c r="B120" s="319" t="s">
        <v>547</v>
      </c>
      <c r="C120" s="319" t="str">
        <f>INDEX(Countries_Codes[Earning Premium Database],MATCH(B120,Countries_Codes[Country Code 3 digit],0))</f>
        <v>Europe &amp; Central Asia</v>
      </c>
      <c r="D120" s="319" t="str">
        <f>INDEX(Countries_Codes[Income level, World Bank (2024)],MATCH(B120,Countries_Codes[Country Code 3 digit],0))</f>
        <v>High-income countries</v>
      </c>
      <c r="E120" s="319" t="s">
        <v>2336</v>
      </c>
      <c r="F120" s="319">
        <v>2024</v>
      </c>
      <c r="G120" s="320">
        <v>2.6000000000000002E-2</v>
      </c>
      <c r="H120" s="319" t="s">
        <v>2334</v>
      </c>
      <c r="I120" s="319">
        <v>2023</v>
      </c>
      <c r="J120" s="320">
        <v>2.427E-2</v>
      </c>
      <c r="K120" s="321">
        <f t="shared" si="7"/>
        <v>2.427E-2</v>
      </c>
      <c r="L120" s="322">
        <f t="shared" si="8"/>
        <v>0.95036102</v>
      </c>
      <c r="M120" s="324">
        <f t="shared" si="6"/>
        <v>4.9638979999999999E-2</v>
      </c>
    </row>
    <row r="121" spans="1:13">
      <c r="A121" s="319" t="s">
        <v>556</v>
      </c>
      <c r="B121" s="319" t="s">
        <v>557</v>
      </c>
      <c r="C121" s="319" t="str">
        <f>INDEX(Countries_Codes[Earning Premium Database],MATCH(B121,Countries_Codes[Country Code 3 digit],0))</f>
        <v>Europe &amp; Central Asia</v>
      </c>
      <c r="D121" s="319" t="str">
        <f>INDEX(Countries_Codes[Income level, World Bank (2024)],MATCH(B121,Countries_Codes[Country Code 3 digit],0))</f>
        <v>High-income countries</v>
      </c>
      <c r="E121" s="319" t="s">
        <v>2336</v>
      </c>
      <c r="F121" s="319">
        <v>2024</v>
      </c>
      <c r="G121" s="320">
        <v>2.6000000000000002E-2</v>
      </c>
      <c r="H121" s="319" t="s">
        <v>2334</v>
      </c>
      <c r="I121" s="319">
        <v>2023</v>
      </c>
      <c r="J121" s="320">
        <v>1.2330000000000001E-2</v>
      </c>
      <c r="K121" s="321">
        <f t="shared" si="7"/>
        <v>1.2330000000000001E-2</v>
      </c>
      <c r="L121" s="322">
        <f t="shared" si="8"/>
        <v>0.96199058000000004</v>
      </c>
      <c r="M121" s="324">
        <f t="shared" si="6"/>
        <v>3.800941999999996E-2</v>
      </c>
    </row>
    <row r="122" spans="1:13">
      <c r="A122" s="319" t="s">
        <v>544</v>
      </c>
      <c r="B122" s="319" t="s">
        <v>545</v>
      </c>
      <c r="C122" s="319" t="str">
        <f>INDEX(Countries_Codes[Earning Premium Database],MATCH(B122,Countries_Codes[Country Code 3 digit],0))</f>
        <v>South Asia</v>
      </c>
      <c r="D122" s="319" t="str">
        <f>INDEX(Countries_Codes[Income level, World Bank (2024)],MATCH(B122,Countries_Codes[Country Code 3 digit],0))</f>
        <v>Lower-middle-income countries</v>
      </c>
      <c r="E122" s="319" t="s">
        <v>2328</v>
      </c>
      <c r="F122" s="319">
        <v>2017</v>
      </c>
      <c r="G122" s="320">
        <v>8.1699999999999995E-2</v>
      </c>
      <c r="H122" s="319" t="s">
        <v>2328</v>
      </c>
      <c r="I122" s="319">
        <v>2017</v>
      </c>
      <c r="J122" s="320">
        <v>0.81557000000000002</v>
      </c>
      <c r="K122" s="321">
        <f t="shared" si="7"/>
        <v>0.81557000000000002</v>
      </c>
      <c r="L122" s="322">
        <f t="shared" si="8"/>
        <v>0.16936206899999998</v>
      </c>
      <c r="M122" s="324">
        <f t="shared" si="6"/>
        <v>0.83063793100000005</v>
      </c>
    </row>
    <row r="123" spans="1:13">
      <c r="A123" s="319" t="s">
        <v>548</v>
      </c>
      <c r="B123" s="319" t="s">
        <v>549</v>
      </c>
      <c r="C123" s="319" t="str">
        <f>INDEX(Countries_Codes[Earning Premium Database],MATCH(B123,Countries_Codes[Country Code 3 digit],0))</f>
        <v>East Asia &amp; Pacific</v>
      </c>
      <c r="D123" s="319" t="str">
        <f>INDEX(Countries_Codes[Income level, World Bank (2024)],MATCH(B123,Countries_Codes[Country Code 3 digit],0))</f>
        <v>High-income countries</v>
      </c>
      <c r="E123" s="319" t="s">
        <v>2333</v>
      </c>
      <c r="F123" s="319">
        <v>2024</v>
      </c>
      <c r="G123" s="320">
        <v>3.1620000000000002E-2</v>
      </c>
      <c r="H123" s="319" t="s">
        <v>2327</v>
      </c>
      <c r="I123" s="319" t="s">
        <v>2327</v>
      </c>
      <c r="J123" s="320" t="s">
        <v>2327</v>
      </c>
      <c r="K123" s="321">
        <f t="shared" si="7"/>
        <v>0.27546999999999999</v>
      </c>
      <c r="L123" s="322">
        <f t="shared" si="8"/>
        <v>0.70162036140000006</v>
      </c>
      <c r="M123" s="324">
        <f t="shared" si="6"/>
        <v>0.29837963859999994</v>
      </c>
    </row>
    <row r="124" spans="1:13">
      <c r="A124" s="319" t="s">
        <v>710</v>
      </c>
      <c r="B124" s="319" t="s">
        <v>711</v>
      </c>
      <c r="C124" s="319" t="str">
        <f>INDEX(Countries_Codes[Earning Premium Database],MATCH(B124,Countries_Codes[Country Code 3 digit],0))</f>
        <v>Middle East &amp; North Africa</v>
      </c>
      <c r="D124" s="319" t="str">
        <f>INDEX(Countries_Codes[Income level, World Bank (2024)],MATCH(B124,Countries_Codes[Country Code 3 digit],0))</f>
        <v>High-income countries</v>
      </c>
      <c r="E124" s="319" t="s">
        <v>2392</v>
      </c>
      <c r="F124" s="319">
        <v>2020</v>
      </c>
      <c r="G124" s="320">
        <v>2.0899999999999998E-2</v>
      </c>
      <c r="H124" s="319" t="s">
        <v>2327</v>
      </c>
      <c r="I124" s="319" t="s">
        <v>2327</v>
      </c>
      <c r="J124" s="320" t="s">
        <v>2327</v>
      </c>
      <c r="K124" s="321">
        <f t="shared" si="7"/>
        <v>0.10858720930232556</v>
      </c>
      <c r="L124" s="322">
        <f t="shared" si="8"/>
        <v>0.87278226337209297</v>
      </c>
      <c r="M124" s="324">
        <f t="shared" si="6"/>
        <v>0.12721773662790703</v>
      </c>
    </row>
    <row r="125" spans="1:13">
      <c r="A125" s="319" t="s">
        <v>558</v>
      </c>
      <c r="B125" s="319" t="s">
        <v>559</v>
      </c>
      <c r="C125" s="319" t="str">
        <f>INDEX(Countries_Codes[Earning Premium Database],MATCH(B125,Countries_Codes[Country Code 3 digit],0))</f>
        <v>South Asia</v>
      </c>
      <c r="D125" s="319" t="str">
        <f>INDEX(Countries_Codes[Income level, World Bank (2024)],MATCH(B125,Countries_Codes[Country Code 3 digit],0))</f>
        <v>Lower-middle-income countries</v>
      </c>
      <c r="E125" s="319" t="s">
        <v>2328</v>
      </c>
      <c r="F125" s="319">
        <v>2021</v>
      </c>
      <c r="G125" s="320">
        <v>4.6689999999999995E-2</v>
      </c>
      <c r="H125" s="319" t="s">
        <v>2328</v>
      </c>
      <c r="I125" s="319">
        <v>2021</v>
      </c>
      <c r="J125" s="320">
        <v>0.84265000000000001</v>
      </c>
      <c r="K125" s="321">
        <f t="shared" si="7"/>
        <v>0.84265000000000001</v>
      </c>
      <c r="L125" s="322">
        <f t="shared" si="8"/>
        <v>0.15000332849999998</v>
      </c>
      <c r="M125" s="324">
        <f t="shared" si="6"/>
        <v>0.84999667150000002</v>
      </c>
    </row>
    <row r="126" spans="1:13">
      <c r="A126" s="319" t="s">
        <v>562</v>
      </c>
      <c r="B126" s="319" t="s">
        <v>563</v>
      </c>
      <c r="C126" s="319" t="str">
        <f>INDEX(Countries_Codes[Earning Premium Database],MATCH(B126,Countries_Codes[Country Code 3 digit],0))</f>
        <v>Latin America &amp; Caribbean</v>
      </c>
      <c r="D126" s="319" t="str">
        <f>INDEX(Countries_Codes[Income level, World Bank (2024)],MATCH(B126,Countries_Codes[Country Code 3 digit],0))</f>
        <v>High-income countries</v>
      </c>
      <c r="E126" s="319" t="s">
        <v>2393</v>
      </c>
      <c r="F126" s="319">
        <v>2024</v>
      </c>
      <c r="G126" s="320">
        <v>6.6029999999999991E-2</v>
      </c>
      <c r="H126" s="319" t="s">
        <v>2393</v>
      </c>
      <c r="I126" s="319">
        <v>2024</v>
      </c>
      <c r="J126" s="320">
        <v>0.58686000000000005</v>
      </c>
      <c r="K126" s="321">
        <f t="shared" si="7"/>
        <v>0.58686000000000005</v>
      </c>
      <c r="L126" s="322">
        <f t="shared" si="8"/>
        <v>0.38586036579999994</v>
      </c>
      <c r="M126" s="324">
        <f t="shared" si="6"/>
        <v>0.61413963420000006</v>
      </c>
    </row>
    <row r="127" spans="1:13">
      <c r="A127" s="319" t="s">
        <v>568</v>
      </c>
      <c r="B127" s="319" t="s">
        <v>569</v>
      </c>
      <c r="C127" s="319" t="str">
        <f>INDEX(Countries_Codes[Earning Premium Database],MATCH(B127,Countries_Codes[Country Code 3 digit],0))</f>
        <v>Latin America &amp; Caribbean</v>
      </c>
      <c r="D127" s="319" t="str">
        <f>INDEX(Countries_Codes[Income level, World Bank (2024)],MATCH(B127,Countries_Codes[Country Code 3 digit],0))</f>
        <v>Upper-middle-income countries</v>
      </c>
      <c r="E127" s="319" t="s">
        <v>2394</v>
      </c>
      <c r="F127" s="319">
        <v>2024</v>
      </c>
      <c r="G127" s="320">
        <v>4.3429999999999996E-2</v>
      </c>
      <c r="H127" s="319" t="s">
        <v>2394</v>
      </c>
      <c r="I127" s="319">
        <v>2024</v>
      </c>
      <c r="J127" s="320">
        <v>0.72066000000000008</v>
      </c>
      <c r="K127" s="321">
        <f t="shared" si="7"/>
        <v>0.72066000000000008</v>
      </c>
      <c r="L127" s="322">
        <f t="shared" si="8"/>
        <v>0.26720826379999996</v>
      </c>
      <c r="M127" s="324">
        <f t="shared" si="6"/>
        <v>0.73279173620000004</v>
      </c>
    </row>
    <row r="128" spans="1:13">
      <c r="A128" s="319" t="s">
        <v>570</v>
      </c>
      <c r="B128" s="319" t="s">
        <v>571</v>
      </c>
      <c r="C128" s="319" t="str">
        <f>INDEX(Countries_Codes[Earning Premium Database],MATCH(B128,Countries_Codes[Country Code 3 digit],0))</f>
        <v>East Asia &amp; Pacific</v>
      </c>
      <c r="D128" s="319" t="str">
        <f>INDEX(Countries_Codes[Income level, World Bank (2024)],MATCH(B128,Countries_Codes[Country Code 3 digit],0))</f>
        <v>Lower-middle-income countries</v>
      </c>
      <c r="E128" s="319" t="s">
        <v>2328</v>
      </c>
      <c r="F128" s="319">
        <v>2022</v>
      </c>
      <c r="G128" s="320">
        <v>1.908E-2</v>
      </c>
      <c r="H128" s="319" t="s">
        <v>2327</v>
      </c>
      <c r="I128" s="319" t="s">
        <v>2327</v>
      </c>
      <c r="J128" s="320" t="s">
        <v>2327</v>
      </c>
      <c r="K128" s="321">
        <f t="shared" si="7"/>
        <v>0.8018320000000001</v>
      </c>
      <c r="L128" s="322">
        <f t="shared" si="8"/>
        <v>0.19438695455999991</v>
      </c>
      <c r="M128" s="324">
        <f t="shared" si="6"/>
        <v>0.80561304544000012</v>
      </c>
    </row>
    <row r="129" spans="1:13">
      <c r="A129" s="319" t="s">
        <v>564</v>
      </c>
      <c r="B129" s="319" t="s">
        <v>565</v>
      </c>
      <c r="C129" s="319" t="str">
        <f>INDEX(Countries_Codes[Earning Premium Database],MATCH(B129,Countries_Codes[Country Code 3 digit],0))</f>
        <v>East Asia &amp; Pacific</v>
      </c>
      <c r="D129" s="319" t="str">
        <f>INDEX(Countries_Codes[Income level, World Bank (2024)],MATCH(B129,Countries_Codes[Country Code 3 digit],0))</f>
        <v>Lower-middle-income countries</v>
      </c>
      <c r="E129" s="319" t="s">
        <v>2395</v>
      </c>
      <c r="F129" s="319">
        <v>2022</v>
      </c>
      <c r="G129" s="320">
        <v>2.46E-2</v>
      </c>
      <c r="H129" s="319" t="s">
        <v>2327</v>
      </c>
      <c r="I129" s="319" t="s">
        <v>2327</v>
      </c>
      <c r="J129" s="320" t="s">
        <v>2327</v>
      </c>
      <c r="K129" s="321">
        <f t="shared" si="7"/>
        <v>0.8018320000000001</v>
      </c>
      <c r="L129" s="322">
        <f t="shared" si="8"/>
        <v>0.19329306719999992</v>
      </c>
      <c r="M129" s="324">
        <f t="shared" si="6"/>
        <v>0.80670693280000005</v>
      </c>
    </row>
    <row r="130" spans="1:13">
      <c r="A130" s="319" t="s">
        <v>572</v>
      </c>
      <c r="B130" s="319" t="s">
        <v>573</v>
      </c>
      <c r="C130" s="319" t="str">
        <f>INDEX(Countries_Codes[Earning Premium Database],MATCH(B130,Countries_Codes[Country Code 3 digit],0))</f>
        <v>Europe &amp; Central Asia</v>
      </c>
      <c r="D130" s="319" t="str">
        <f>INDEX(Countries_Codes[Income level, World Bank (2024)],MATCH(B130,Countries_Codes[Country Code 3 digit],0))</f>
        <v>High-income countries</v>
      </c>
      <c r="E130" s="319" t="s">
        <v>2328</v>
      </c>
      <c r="F130" s="319">
        <v>2024</v>
      </c>
      <c r="G130" s="320">
        <v>2.274E-2</v>
      </c>
      <c r="H130" s="319" t="s">
        <v>2334</v>
      </c>
      <c r="I130" s="319">
        <v>2023</v>
      </c>
      <c r="J130" s="320">
        <v>7.6719999999999997E-2</v>
      </c>
      <c r="K130" s="321">
        <f t="shared" ref="K130:K161" si="9">IF(J130="",IFERROR(AVERAGEIFS($J$2:$J$178,$J$2:$J$178,"&lt;&gt;""",$C$2:$C$178,$C130,$D$2:$D$178,D130),AVERAGEIFS($J$2:$J$178,$J$2:$J$178,"&lt;&gt;""",$D$2:$D$178,D130)),J130)</f>
        <v>7.6719999999999997E-2</v>
      </c>
      <c r="L130" s="322">
        <f t="shared" si="8"/>
        <v>0.90228461280000005</v>
      </c>
      <c r="M130" s="324">
        <f t="shared" si="6"/>
        <v>9.7715387199999948E-2</v>
      </c>
    </row>
    <row r="131" spans="1:13">
      <c r="A131" s="319" t="s">
        <v>574</v>
      </c>
      <c r="B131" s="319" t="s">
        <v>575</v>
      </c>
      <c r="C131" s="319" t="str">
        <f>INDEX(Countries_Codes[Earning Premium Database],MATCH(B131,Countries_Codes[Country Code 3 digit],0))</f>
        <v>Europe &amp; Central Asia</v>
      </c>
      <c r="D131" s="319" t="str">
        <f>INDEX(Countries_Codes[Income level, World Bank (2024)],MATCH(B131,Countries_Codes[Country Code 3 digit],0))</f>
        <v>High-income countries</v>
      </c>
      <c r="E131" s="319" t="s">
        <v>2336</v>
      </c>
      <c r="F131" s="319">
        <v>2024</v>
      </c>
      <c r="G131" s="320">
        <v>5.2999999999999999E-2</v>
      </c>
      <c r="H131" s="319" t="s">
        <v>2334</v>
      </c>
      <c r="I131" s="319">
        <v>2023</v>
      </c>
      <c r="J131" s="320">
        <v>4.5259999999999995E-2</v>
      </c>
      <c r="K131" s="321">
        <f t="shared" si="9"/>
        <v>4.5259999999999995E-2</v>
      </c>
      <c r="L131" s="322">
        <f t="shared" si="8"/>
        <v>0.90413878000000003</v>
      </c>
      <c r="M131" s="324">
        <f t="shared" ref="M131:M178" si="10">1-L131</f>
        <v>9.5861219999999969E-2</v>
      </c>
    </row>
    <row r="132" spans="1:13">
      <c r="A132" s="319" t="s">
        <v>566</v>
      </c>
      <c r="B132" s="319" t="s">
        <v>567</v>
      </c>
      <c r="C132" s="319" t="str">
        <f>INDEX(Countries_Codes[Earning Premium Database],MATCH(B132,Countries_Codes[Country Code 3 digit],0))</f>
        <v>Latin America &amp; Caribbean</v>
      </c>
      <c r="D132" s="319" t="str">
        <f>INDEX(Countries_Codes[Income level, World Bank (2024)],MATCH(B132,Countries_Codes[Country Code 3 digit],0))</f>
        <v>Upper-middle-income countries</v>
      </c>
      <c r="E132" s="319" t="s">
        <v>2396</v>
      </c>
      <c r="F132" s="319">
        <v>2024</v>
      </c>
      <c r="G132" s="320">
        <v>3.9100000000000003E-2</v>
      </c>
      <c r="H132" s="319" t="s">
        <v>2396</v>
      </c>
      <c r="I132" s="319">
        <v>2024</v>
      </c>
      <c r="J132" s="320">
        <v>0.67310000000000003</v>
      </c>
      <c r="K132" s="321">
        <f t="shared" si="9"/>
        <v>0.67310000000000003</v>
      </c>
      <c r="L132" s="322">
        <f t="shared" si="8"/>
        <v>0.31411820999999995</v>
      </c>
      <c r="M132" s="324">
        <f t="shared" si="10"/>
        <v>0.68588179000000005</v>
      </c>
    </row>
    <row r="133" spans="1:13">
      <c r="A133" s="319" t="s">
        <v>2397</v>
      </c>
      <c r="B133" s="319" t="s">
        <v>677</v>
      </c>
      <c r="C133" s="319" t="str">
        <f>INDEX(Countries_Codes[Earning Premium Database],MATCH(B133,Countries_Codes[Country Code 3 digit],0))</f>
        <v>Middle East &amp; North Africa</v>
      </c>
      <c r="D133" s="319" t="str">
        <f>INDEX(Countries_Codes[Income level, World Bank (2024)],MATCH(B133,Countries_Codes[Country Code 3 digit],0))</f>
        <v>Lower-middle-income countries</v>
      </c>
      <c r="E133" s="319" t="s">
        <v>2328</v>
      </c>
      <c r="F133" s="319">
        <v>2024</v>
      </c>
      <c r="G133" s="320">
        <v>0.28273999999999999</v>
      </c>
      <c r="H133" s="319" t="s">
        <v>2328</v>
      </c>
      <c r="I133" s="319">
        <v>2024</v>
      </c>
      <c r="J133" s="320">
        <v>0.48475000000000001</v>
      </c>
      <c r="K133" s="321">
        <f t="shared" si="9"/>
        <v>0.48475000000000001</v>
      </c>
      <c r="L133" s="322">
        <f t="shared" si="8"/>
        <v>0.36956821499999998</v>
      </c>
      <c r="M133" s="324">
        <f t="shared" si="10"/>
        <v>0.63043178500000008</v>
      </c>
    </row>
    <row r="134" spans="1:13">
      <c r="A134" s="319" t="s">
        <v>714</v>
      </c>
      <c r="B134" s="319" t="s">
        <v>715</v>
      </c>
      <c r="C134" s="319" t="str">
        <f>INDEX(Countries_Codes[Earning Premium Database],MATCH(B134,Countries_Codes[Country Code 3 digit],0))</f>
        <v>East Asia &amp; Pacific</v>
      </c>
      <c r="D134" s="319" t="str">
        <f>INDEX(Countries_Codes[Income level, World Bank (2024)],MATCH(B134,Countries_Codes[Country Code 3 digit],0))</f>
        <v>High-income countries</v>
      </c>
      <c r="E134" s="319" t="s">
        <v>2330</v>
      </c>
      <c r="F134" s="319">
        <v>2007</v>
      </c>
      <c r="G134" s="320">
        <v>7.2400000000000006E-2</v>
      </c>
      <c r="H134" s="319" t="s">
        <v>2327</v>
      </c>
      <c r="I134" s="319" t="s">
        <v>2327</v>
      </c>
      <c r="J134" s="320" t="s">
        <v>2327</v>
      </c>
      <c r="K134" s="321">
        <f t="shared" si="9"/>
        <v>0.27546999999999999</v>
      </c>
      <c r="L134" s="322">
        <f t="shared" si="8"/>
        <v>0.67207402800000005</v>
      </c>
      <c r="M134" s="324">
        <f t="shared" si="10"/>
        <v>0.32792597199999995</v>
      </c>
    </row>
    <row r="135" spans="1:13">
      <c r="A135" s="319" t="s">
        <v>578</v>
      </c>
      <c r="B135" s="319" t="s">
        <v>579</v>
      </c>
      <c r="C135" s="319" t="str">
        <f>INDEX(Countries_Codes[Earning Premium Database],MATCH(B135,Countries_Codes[Country Code 3 digit],0))</f>
        <v>Middle East &amp; North Africa</v>
      </c>
      <c r="D135" s="319" t="str">
        <f>INDEX(Countries_Codes[Income level, World Bank (2024)],MATCH(B135,Countries_Codes[Country Code 3 digit],0))</f>
        <v>High-income countries</v>
      </c>
      <c r="E135" s="319" t="s">
        <v>2398</v>
      </c>
      <c r="F135" s="319">
        <v>2022</v>
      </c>
      <c r="G135" s="320">
        <v>8.9999999999999998E-4</v>
      </c>
      <c r="H135" s="319" t="s">
        <v>2327</v>
      </c>
      <c r="I135" s="319" t="s">
        <v>2327</v>
      </c>
      <c r="J135" s="320" t="s">
        <v>2327</v>
      </c>
      <c r="K135" s="321">
        <f t="shared" si="9"/>
        <v>0.10858720930232556</v>
      </c>
      <c r="L135" s="322">
        <f t="shared" si="8"/>
        <v>0.8906105191860465</v>
      </c>
      <c r="M135" s="324">
        <f t="shared" si="10"/>
        <v>0.1093894808139535</v>
      </c>
    </row>
    <row r="136" spans="1:13">
      <c r="A136" s="319" t="s">
        <v>580</v>
      </c>
      <c r="B136" s="319" t="s">
        <v>581</v>
      </c>
      <c r="C136" s="319" t="str">
        <f>INDEX(Countries_Codes[Earning Premium Database],MATCH(B136,Countries_Codes[Country Code 3 digit],0))</f>
        <v>Europe &amp; Central Asia</v>
      </c>
      <c r="D136" s="319" t="str">
        <f>INDEX(Countries_Codes[Income level, World Bank (2024)],MATCH(B136,Countries_Codes[Country Code 3 digit],0))</f>
        <v>High-income countries</v>
      </c>
      <c r="E136" s="319" t="s">
        <v>2333</v>
      </c>
      <c r="F136" s="319">
        <v>2024</v>
      </c>
      <c r="G136" s="320">
        <v>4.2000000000000003E-2</v>
      </c>
      <c r="H136" s="319" t="s">
        <v>2334</v>
      </c>
      <c r="I136" s="319">
        <v>2023</v>
      </c>
      <c r="J136" s="320">
        <v>2.5499999999999998E-2</v>
      </c>
      <c r="K136" s="321">
        <f t="shared" si="9"/>
        <v>2.5499999999999998E-2</v>
      </c>
      <c r="L136" s="322">
        <f t="shared" si="8"/>
        <v>0.93357100000000004</v>
      </c>
      <c r="M136" s="324">
        <f t="shared" si="10"/>
        <v>6.642899999999996E-2</v>
      </c>
    </row>
    <row r="137" spans="1:13">
      <c r="A137" s="319" t="s">
        <v>582</v>
      </c>
      <c r="B137" s="319" t="s">
        <v>583</v>
      </c>
      <c r="C137" s="319" t="str">
        <f>INDEX(Countries_Codes[Earning Premium Database],MATCH(B137,Countries_Codes[Country Code 3 digit],0))</f>
        <v>Europe &amp; Central Asia</v>
      </c>
      <c r="D137" s="319" t="str">
        <f>INDEX(Countries_Codes[Income level, World Bank (2024)],MATCH(B137,Countries_Codes[Country Code 3 digit],0))</f>
        <v>High-income countries</v>
      </c>
      <c r="E137" s="319" t="s">
        <v>2328</v>
      </c>
      <c r="F137" s="319">
        <v>2024</v>
      </c>
      <c r="G137" s="320">
        <v>2.07E-2</v>
      </c>
      <c r="H137" s="319" t="s">
        <v>2328</v>
      </c>
      <c r="I137" s="319">
        <v>2024</v>
      </c>
      <c r="J137" s="320">
        <v>0.19327000000000003</v>
      </c>
      <c r="K137" s="321">
        <f t="shared" si="9"/>
        <v>0.19327000000000003</v>
      </c>
      <c r="L137" s="322">
        <f t="shared" si="8"/>
        <v>0.79003068899999995</v>
      </c>
      <c r="M137" s="324">
        <f t="shared" si="10"/>
        <v>0.20996931100000005</v>
      </c>
    </row>
    <row r="138" spans="1:13">
      <c r="A138" s="319" t="s">
        <v>584</v>
      </c>
      <c r="B138" s="319" t="s">
        <v>585</v>
      </c>
      <c r="C138" s="319" t="str">
        <f>INDEX(Countries_Codes[Earning Premium Database],MATCH(B138,Countries_Codes[Country Code 3 digit],0))</f>
        <v>Sub-Saharan Africa</v>
      </c>
      <c r="D138" s="319" t="str">
        <f>INDEX(Countries_Codes[Income level, World Bank (2024)],MATCH(B138,Countries_Codes[Country Code 3 digit],0))</f>
        <v>Low-income countries</v>
      </c>
      <c r="E138" s="319" t="s">
        <v>2328</v>
      </c>
      <c r="F138" s="319">
        <v>2024</v>
      </c>
      <c r="G138" s="320">
        <v>0.12371</v>
      </c>
      <c r="H138" s="319" t="s">
        <v>2328</v>
      </c>
      <c r="I138" s="319">
        <v>2024</v>
      </c>
      <c r="J138" s="320">
        <v>0.82156000000000007</v>
      </c>
      <c r="K138" s="321">
        <f t="shared" si="9"/>
        <v>0.82156000000000007</v>
      </c>
      <c r="L138" s="322">
        <f t="shared" si="8"/>
        <v>0.15636518759999996</v>
      </c>
      <c r="M138" s="324">
        <f t="shared" si="10"/>
        <v>0.84363481240000004</v>
      </c>
    </row>
    <row r="139" spans="1:13">
      <c r="A139" s="319" t="s">
        <v>590</v>
      </c>
      <c r="B139" s="319" t="s">
        <v>591</v>
      </c>
      <c r="C139" s="319" t="str">
        <f>INDEX(Countries_Codes[Earning Premium Database],MATCH(B139,Countries_Codes[Country Code 3 digit],0))</f>
        <v>Middle East &amp; North Africa</v>
      </c>
      <c r="D139" s="319" t="str">
        <f>INDEX(Countries_Codes[Income level, World Bank (2024)],MATCH(B139,Countries_Codes[Country Code 3 digit],0))</f>
        <v>High-income countries</v>
      </c>
      <c r="E139" s="319" t="s">
        <v>2328</v>
      </c>
      <c r="F139" s="319">
        <v>2024</v>
      </c>
      <c r="G139" s="320">
        <v>2.6939999999999999E-2</v>
      </c>
      <c r="H139" s="319" t="s">
        <v>2327</v>
      </c>
      <c r="I139" s="319" t="s">
        <v>2327</v>
      </c>
      <c r="J139" s="320" t="s">
        <v>2327</v>
      </c>
      <c r="K139" s="321">
        <f t="shared" si="9"/>
        <v>0.10858720930232556</v>
      </c>
      <c r="L139" s="322">
        <f t="shared" si="8"/>
        <v>0.86739813011627909</v>
      </c>
      <c r="M139" s="324">
        <f t="shared" si="10"/>
        <v>0.13260186988372091</v>
      </c>
    </row>
    <row r="140" spans="1:13">
      <c r="A140" s="319" t="s">
        <v>622</v>
      </c>
      <c r="B140" s="319" t="s">
        <v>623</v>
      </c>
      <c r="C140" s="319" t="str">
        <f>INDEX(Countries_Codes[Earning Premium Database],MATCH(B140,Countries_Codes[Country Code 3 digit],0))</f>
        <v>Sub-Saharan Africa</v>
      </c>
      <c r="D140" s="319" t="str">
        <f>INDEX(Countries_Codes[Income level, World Bank (2024)],MATCH(B140,Countries_Codes[Country Code 3 digit],0))</f>
        <v>Low-income countries</v>
      </c>
      <c r="E140" s="319" t="s">
        <v>2399</v>
      </c>
      <c r="F140" s="319">
        <v>2022</v>
      </c>
      <c r="G140" s="320">
        <v>6.1669999999999996E-2</v>
      </c>
      <c r="H140" s="319" t="s">
        <v>2399</v>
      </c>
      <c r="I140" s="319">
        <v>2022</v>
      </c>
      <c r="J140" s="320">
        <v>0.94405000000000006</v>
      </c>
      <c r="K140" s="321">
        <f t="shared" si="9"/>
        <v>0.94405000000000006</v>
      </c>
      <c r="L140" s="322">
        <f t="shared" si="8"/>
        <v>5.249956349999995E-2</v>
      </c>
      <c r="M140" s="324">
        <f t="shared" si="10"/>
        <v>0.94750043650000004</v>
      </c>
    </row>
    <row r="141" spans="1:13">
      <c r="A141" s="319" t="s">
        <v>592</v>
      </c>
      <c r="B141" s="319" t="s">
        <v>593</v>
      </c>
      <c r="C141" s="319" t="str">
        <f>INDEX(Countries_Codes[Earning Premium Database],MATCH(B141,Countries_Codes[Country Code 3 digit],0))</f>
        <v>Sub-Saharan Africa</v>
      </c>
      <c r="D141" s="319" t="str">
        <f>INDEX(Countries_Codes[Income level, World Bank (2024)],MATCH(B141,Countries_Codes[Country Code 3 digit],0))</f>
        <v>Lower-middle-income countries</v>
      </c>
      <c r="E141" s="319" t="s">
        <v>2366</v>
      </c>
      <c r="F141" s="319">
        <v>2022</v>
      </c>
      <c r="G141" s="320">
        <v>2.5600000000000001E-2</v>
      </c>
      <c r="H141" s="319" t="s">
        <v>2366</v>
      </c>
      <c r="I141" s="319">
        <v>2022</v>
      </c>
      <c r="J141" s="320">
        <v>0.95099999999999996</v>
      </c>
      <c r="K141" s="321">
        <f t="shared" si="9"/>
        <v>0.95099999999999996</v>
      </c>
      <c r="L141" s="322">
        <f t="shared" si="8"/>
        <v>4.7745600000000048E-2</v>
      </c>
      <c r="M141" s="324">
        <f t="shared" si="10"/>
        <v>0.95225439999999995</v>
      </c>
    </row>
    <row r="142" spans="1:13">
      <c r="A142" s="319" t="s">
        <v>600</v>
      </c>
      <c r="B142" s="319" t="s">
        <v>601</v>
      </c>
      <c r="C142" s="319" t="str">
        <f>INDEX(Countries_Codes[Earning Premium Database],MATCH(B142,Countries_Codes[Country Code 3 digit],0))</f>
        <v>East Asia &amp; Pacific</v>
      </c>
      <c r="D142" s="319" t="str">
        <f>INDEX(Countries_Codes[Income level, World Bank (2024)],MATCH(B142,Countries_Codes[Country Code 3 digit],0))</f>
        <v>High-income countries</v>
      </c>
      <c r="E142" s="319" t="s">
        <v>2328</v>
      </c>
      <c r="F142" s="319">
        <v>2024</v>
      </c>
      <c r="G142" s="320">
        <v>2.5080000000000002E-2</v>
      </c>
      <c r="H142" s="319" t="s">
        <v>2327</v>
      </c>
      <c r="I142" s="319" t="s">
        <v>2327</v>
      </c>
      <c r="J142" s="320" t="s">
        <v>2327</v>
      </c>
      <c r="K142" s="321">
        <f t="shared" si="9"/>
        <v>0.27546999999999999</v>
      </c>
      <c r="L142" s="322">
        <f t="shared" si="8"/>
        <v>0.70635878760000004</v>
      </c>
      <c r="M142" s="324">
        <f t="shared" si="10"/>
        <v>0.29364121239999996</v>
      </c>
    </row>
    <row r="143" spans="1:13">
      <c r="A143" s="319" t="s">
        <v>598</v>
      </c>
      <c r="B143" s="319" t="s">
        <v>599</v>
      </c>
      <c r="C143" s="319" t="str">
        <f>INDEX(Countries_Codes[Earning Premium Database],MATCH(B143,Countries_Codes[Country Code 3 digit],0))</f>
        <v>Sub-Saharan Africa</v>
      </c>
      <c r="D143" s="319" t="str">
        <f>INDEX(Countries_Codes[Income level, World Bank (2024)],MATCH(B143,Countries_Codes[Country Code 3 digit],0))</f>
        <v>Low-income countries</v>
      </c>
      <c r="E143" s="319" t="s">
        <v>2400</v>
      </c>
      <c r="F143" s="319">
        <v>2018</v>
      </c>
      <c r="G143" s="320">
        <v>3.1E-2</v>
      </c>
      <c r="H143" s="319" t="s">
        <v>2400</v>
      </c>
      <c r="I143" s="319">
        <v>2018</v>
      </c>
      <c r="J143" s="320">
        <v>0.93110000000000004</v>
      </c>
      <c r="K143" s="321">
        <f t="shared" si="9"/>
        <v>0.93110000000000004</v>
      </c>
      <c r="L143" s="322">
        <f t="shared" si="8"/>
        <v>6.6764099999999965E-2</v>
      </c>
      <c r="M143" s="324">
        <f t="shared" si="10"/>
        <v>0.93323590000000001</v>
      </c>
    </row>
    <row r="144" spans="1:13">
      <c r="A144" s="319" t="s">
        <v>418</v>
      </c>
      <c r="B144" s="319" t="s">
        <v>419</v>
      </c>
      <c r="C144" s="319" t="str">
        <f>INDEX(Countries_Codes[Earning Premium Database],MATCH(B144,Countries_Codes[Country Code 3 digit],0))</f>
        <v>Latin America &amp; Caribbean</v>
      </c>
      <c r="D144" s="319" t="str">
        <f>INDEX(Countries_Codes[Income level, World Bank (2024)],MATCH(B144,Countries_Codes[Country Code 3 digit],0))</f>
        <v>Upper-middle-income countries</v>
      </c>
      <c r="E144" s="319" t="s">
        <v>2401</v>
      </c>
      <c r="F144" s="319">
        <v>2023</v>
      </c>
      <c r="G144" s="320">
        <v>2.2019999999999998E-2</v>
      </c>
      <c r="H144" s="319" t="s">
        <v>2401</v>
      </c>
      <c r="I144" s="319">
        <v>2023</v>
      </c>
      <c r="J144" s="320">
        <v>0.66495000000000004</v>
      </c>
      <c r="K144" s="321">
        <f t="shared" si="9"/>
        <v>0.66495000000000004</v>
      </c>
      <c r="L144" s="322">
        <f t="shared" si="8"/>
        <v>0.32767219899999994</v>
      </c>
      <c r="M144" s="324">
        <f t="shared" si="10"/>
        <v>0.672327801</v>
      </c>
    </row>
    <row r="145" spans="1:13">
      <c r="A145" s="319" t="s">
        <v>718</v>
      </c>
      <c r="B145" s="319" t="s">
        <v>719</v>
      </c>
      <c r="C145" s="319" t="str">
        <f>INDEX(Countries_Codes[Earning Premium Database],MATCH(B145,Countries_Codes[Country Code 3 digit],0))</f>
        <v>Europe &amp; Central Asia</v>
      </c>
      <c r="D145" s="319" t="str">
        <f>INDEX(Countries_Codes[Income level, World Bank (2024)],MATCH(B145,Countries_Codes[Country Code 3 digit],0))</f>
        <v>High-income countries</v>
      </c>
      <c r="E145" s="319" t="s">
        <v>2402</v>
      </c>
      <c r="F145" s="319">
        <v>2022</v>
      </c>
      <c r="G145" s="320">
        <v>4.2900000000000001E-2</v>
      </c>
      <c r="H145" s="319" t="s">
        <v>2327</v>
      </c>
      <c r="I145" s="319" t="s">
        <v>2327</v>
      </c>
      <c r="J145" s="320" t="s">
        <v>2327</v>
      </c>
      <c r="K145" s="321">
        <f t="shared" si="9"/>
        <v>3.0943437499999994E-2</v>
      </c>
      <c r="L145" s="322">
        <f t="shared" si="8"/>
        <v>0.92748403596874995</v>
      </c>
      <c r="M145" s="324">
        <f t="shared" si="10"/>
        <v>7.2515964031250046E-2</v>
      </c>
    </row>
    <row r="146" spans="1:13">
      <c r="A146" s="319" t="s">
        <v>608</v>
      </c>
      <c r="B146" s="319" t="s">
        <v>609</v>
      </c>
      <c r="C146" s="319" t="str">
        <f>INDEX(Countries_Codes[Earning Premium Database],MATCH(B146,Countries_Codes[Country Code 3 digit],0))</f>
        <v>Sub-Saharan Africa</v>
      </c>
      <c r="D146" s="319" t="str">
        <f>INDEX(Countries_Codes[Income level, World Bank (2024)],MATCH(B146,Countries_Codes[Country Code 3 digit],0))</f>
        <v>Low-income countries</v>
      </c>
      <c r="E146" s="319" t="s">
        <v>2328</v>
      </c>
      <c r="F146" s="319">
        <v>2019</v>
      </c>
      <c r="G146" s="320">
        <v>0.15542</v>
      </c>
      <c r="H146" s="319" t="s">
        <v>2328</v>
      </c>
      <c r="I146" s="319">
        <v>2019</v>
      </c>
      <c r="J146" s="320">
        <v>0.82486999999999999</v>
      </c>
      <c r="K146" s="321">
        <f t="shared" si="9"/>
        <v>0.82486999999999999</v>
      </c>
      <c r="L146" s="322">
        <f t="shared" si="8"/>
        <v>0.1479112954</v>
      </c>
      <c r="M146" s="324">
        <f t="shared" si="10"/>
        <v>0.85208870459999997</v>
      </c>
    </row>
    <row r="147" spans="1:13">
      <c r="A147" s="319" t="s">
        <v>594</v>
      </c>
      <c r="B147" s="319" t="s">
        <v>595</v>
      </c>
      <c r="C147" s="319" t="str">
        <f>INDEX(Countries_Codes[Earning Premium Database],MATCH(B147,Countries_Codes[Country Code 3 digit],0))</f>
        <v>Europe &amp; Central Asia</v>
      </c>
      <c r="D147" s="319" t="str">
        <f>INDEX(Countries_Codes[Income level, World Bank (2024)],MATCH(B147,Countries_Codes[Country Code 3 digit],0))</f>
        <v>Upper-middle-income countries</v>
      </c>
      <c r="E147" s="319" t="s">
        <v>2328</v>
      </c>
      <c r="F147" s="319">
        <v>2024</v>
      </c>
      <c r="G147" s="320">
        <v>6.2560000000000004E-2</v>
      </c>
      <c r="H147" s="319" t="s">
        <v>2328</v>
      </c>
      <c r="I147" s="319">
        <v>2024</v>
      </c>
      <c r="J147" s="320">
        <v>0.17807999999999999</v>
      </c>
      <c r="K147" s="321">
        <f t="shared" si="9"/>
        <v>0.17807999999999999</v>
      </c>
      <c r="L147" s="322">
        <f t="shared" si="8"/>
        <v>0.7705006848</v>
      </c>
      <c r="M147" s="324">
        <f t="shared" si="10"/>
        <v>0.2294993152</v>
      </c>
    </row>
    <row r="148" spans="1:13">
      <c r="A148" s="319" t="s">
        <v>716</v>
      </c>
      <c r="B148" s="319" t="s">
        <v>717</v>
      </c>
      <c r="C148" s="319" t="str">
        <f>INDEX(Countries_Codes[Earning Premium Database],MATCH(B148,Countries_Codes[Country Code 3 digit],0))</f>
        <v>Sub-Saharan Africa</v>
      </c>
      <c r="D148" s="319" t="str">
        <f>INDEX(Countries_Codes[Income level, World Bank (2024)],MATCH(B148,Countries_Codes[Country Code 3 digit],0))</f>
        <v>Low-income countries</v>
      </c>
      <c r="E148" s="319" t="s">
        <v>2326</v>
      </c>
      <c r="F148" s="319">
        <v>2008</v>
      </c>
      <c r="G148" s="320">
        <v>9.4629999999999992E-2</v>
      </c>
      <c r="H148" s="319" t="s">
        <v>2327</v>
      </c>
      <c r="I148" s="319" t="s">
        <v>2327</v>
      </c>
      <c r="J148" s="320" t="s">
        <v>2327</v>
      </c>
      <c r="K148" s="321">
        <f t="shared" si="9"/>
        <v>0.92176777777777785</v>
      </c>
      <c r="L148" s="322">
        <f t="shared" si="8"/>
        <v>7.0829107033333269E-2</v>
      </c>
      <c r="M148" s="324">
        <f t="shared" si="10"/>
        <v>0.92917089296666677</v>
      </c>
    </row>
    <row r="149" spans="1:13">
      <c r="A149" s="319" t="s">
        <v>588</v>
      </c>
      <c r="B149" s="319" t="s">
        <v>589</v>
      </c>
      <c r="C149" s="319" t="str">
        <f>INDEX(Countries_Codes[Earning Premium Database],MATCH(B149,Countries_Codes[Country Code 3 digit],0))</f>
        <v>Sub-Saharan Africa</v>
      </c>
      <c r="D149" s="319" t="str">
        <f>INDEX(Countries_Codes[Income level, World Bank (2024)],MATCH(B149,Countries_Codes[Country Code 3 digit],0))</f>
        <v>Lower-middle-income countries</v>
      </c>
      <c r="E149" s="319" t="s">
        <v>2385</v>
      </c>
      <c r="F149" s="319">
        <v>2017</v>
      </c>
      <c r="G149" s="320">
        <v>9.0039999999999995E-2</v>
      </c>
      <c r="H149" s="319" t="s">
        <v>2327</v>
      </c>
      <c r="I149" s="319" t="s">
        <v>2327</v>
      </c>
      <c r="J149" s="320" t="s">
        <v>2327</v>
      </c>
      <c r="K149" s="321">
        <f t="shared" si="9"/>
        <v>0.83828666666666674</v>
      </c>
      <c r="L149" s="322">
        <f t="shared" si="8"/>
        <v>0.14715266479999994</v>
      </c>
      <c r="M149" s="324">
        <f t="shared" si="10"/>
        <v>0.85284733520000011</v>
      </c>
    </row>
    <row r="150" spans="1:13">
      <c r="A150" s="319" t="s">
        <v>624</v>
      </c>
      <c r="B150" s="319" t="s">
        <v>625</v>
      </c>
      <c r="C150" s="319" t="str">
        <f>INDEX(Countries_Codes[Earning Premium Database],MATCH(B150,Countries_Codes[Country Code 3 digit],0))</f>
        <v>Latin America &amp; Caribbean</v>
      </c>
      <c r="D150" s="319" t="str">
        <f>INDEX(Countries_Codes[Income level, World Bank (2024)],MATCH(B150,Countries_Codes[Country Code 3 digit],0))</f>
        <v>Upper-middle-income countries</v>
      </c>
      <c r="E150" s="319" t="s">
        <v>2344</v>
      </c>
      <c r="F150" s="319">
        <v>2016</v>
      </c>
      <c r="G150" s="320">
        <v>4.8509999999999998E-2</v>
      </c>
      <c r="H150" s="319" t="s">
        <v>2344</v>
      </c>
      <c r="I150" s="319">
        <v>2016</v>
      </c>
      <c r="J150" s="320">
        <v>0.52107999999999999</v>
      </c>
      <c r="K150" s="321">
        <f t="shared" si="9"/>
        <v>0.52107999999999999</v>
      </c>
      <c r="L150" s="322">
        <f t="shared" si="8"/>
        <v>0.45568759079999999</v>
      </c>
      <c r="M150" s="324">
        <f t="shared" si="10"/>
        <v>0.54431240920000001</v>
      </c>
    </row>
    <row r="151" spans="1:13">
      <c r="A151" s="319" t="s">
        <v>1067</v>
      </c>
      <c r="B151" s="319" t="s">
        <v>603</v>
      </c>
      <c r="C151" s="319" t="str">
        <f>INDEX(Countries_Codes[Earning Premium Database],MATCH(B151,Countries_Codes[Country Code 3 digit],0))</f>
        <v>Europe &amp; Central Asia</v>
      </c>
      <c r="D151" s="319" t="str">
        <f>INDEX(Countries_Codes[Income level, World Bank (2024)],MATCH(B151,Countries_Codes[Country Code 3 digit],0))</f>
        <v>High-income countries</v>
      </c>
      <c r="E151" s="319" t="s">
        <v>2328</v>
      </c>
      <c r="F151" s="319">
        <v>2024</v>
      </c>
      <c r="G151" s="320">
        <v>4.5999999999999999E-2</v>
      </c>
      <c r="H151" s="319" t="s">
        <v>2334</v>
      </c>
      <c r="I151" s="319">
        <v>2023</v>
      </c>
      <c r="J151" s="320">
        <v>5.0590000000000003E-2</v>
      </c>
      <c r="K151" s="321">
        <f t="shared" si="9"/>
        <v>5.0590000000000003E-2</v>
      </c>
      <c r="L151" s="322">
        <f t="shared" si="8"/>
        <v>0.90573713999999994</v>
      </c>
      <c r="M151" s="324">
        <f t="shared" si="10"/>
        <v>9.4262860000000059E-2</v>
      </c>
    </row>
    <row r="152" spans="1:13">
      <c r="A152" s="319" t="s">
        <v>604</v>
      </c>
      <c r="B152" s="319" t="s">
        <v>605</v>
      </c>
      <c r="C152" s="319" t="str">
        <f>INDEX(Countries_Codes[Earning Premium Database],MATCH(B152,Countries_Codes[Country Code 3 digit],0))</f>
        <v>Europe &amp; Central Asia</v>
      </c>
      <c r="D152" s="319" t="str">
        <f>INDEX(Countries_Codes[Income level, World Bank (2024)],MATCH(B152,Countries_Codes[Country Code 3 digit],0))</f>
        <v>High-income countries</v>
      </c>
      <c r="E152" s="319" t="s">
        <v>2328</v>
      </c>
      <c r="F152" s="319">
        <v>2024</v>
      </c>
      <c r="G152" s="320">
        <v>3.1E-2</v>
      </c>
      <c r="H152" s="319" t="s">
        <v>2334</v>
      </c>
      <c r="I152" s="319">
        <v>2023</v>
      </c>
      <c r="J152" s="320">
        <v>8.3299999999999989E-3</v>
      </c>
      <c r="K152" s="321">
        <f t="shared" si="9"/>
        <v>8.3299999999999989E-3</v>
      </c>
      <c r="L152" s="322">
        <f t="shared" si="8"/>
        <v>0.96092823000000005</v>
      </c>
      <c r="M152" s="324">
        <f t="shared" si="10"/>
        <v>3.907176999999995E-2</v>
      </c>
    </row>
    <row r="153" spans="1:13">
      <c r="A153" s="319" t="s">
        <v>628</v>
      </c>
      <c r="B153" s="319" t="s">
        <v>629</v>
      </c>
      <c r="C153" s="319" t="str">
        <f>INDEX(Countries_Codes[Earning Premium Database],MATCH(B153,Countries_Codes[Country Code 3 digit],0))</f>
        <v>Europe &amp; Central Asia</v>
      </c>
      <c r="D153" s="319" t="str">
        <f>INDEX(Countries_Codes[Income level, World Bank (2024)],MATCH(B153,Countries_Codes[Country Code 3 digit],0))</f>
        <v>High-income countries</v>
      </c>
      <c r="E153" s="319" t="s">
        <v>2336</v>
      </c>
      <c r="F153" s="319">
        <v>2024</v>
      </c>
      <c r="G153" s="320">
        <v>6.2E-2</v>
      </c>
      <c r="H153" s="319" t="s">
        <v>2334</v>
      </c>
      <c r="I153" s="319">
        <v>2023</v>
      </c>
      <c r="J153" s="320">
        <v>2.9440000000000001E-2</v>
      </c>
      <c r="K153" s="321">
        <f t="shared" si="9"/>
        <v>2.9440000000000001E-2</v>
      </c>
      <c r="L153" s="322">
        <f t="shared" si="8"/>
        <v>0.91038527999999996</v>
      </c>
      <c r="M153" s="324">
        <f t="shared" si="10"/>
        <v>8.9614720000000037E-2</v>
      </c>
    </row>
    <row r="154" spans="1:13">
      <c r="A154" s="319" t="s">
        <v>768</v>
      </c>
      <c r="B154" s="319" t="s">
        <v>627</v>
      </c>
      <c r="C154" s="319" t="str">
        <f>INDEX(Countries_Codes[Earning Premium Database],MATCH(B154,Countries_Codes[Country Code 3 digit],0))</f>
        <v>Sub-Saharan Africa</v>
      </c>
      <c r="D154" s="319" t="str">
        <f>INDEX(Countries_Codes[Income level, World Bank (2024)],MATCH(B154,Countries_Codes[Country Code 3 digit],0))</f>
        <v>Lower-middle-income countries</v>
      </c>
      <c r="E154" s="319" t="s">
        <v>2328</v>
      </c>
      <c r="F154" s="319">
        <v>2023</v>
      </c>
      <c r="G154" s="320">
        <v>0.30841999999999997</v>
      </c>
      <c r="H154" s="319" t="s">
        <v>2328</v>
      </c>
      <c r="I154" s="319">
        <v>2023</v>
      </c>
      <c r="J154" s="320">
        <v>0.53296999999999994</v>
      </c>
      <c r="K154" s="321">
        <f t="shared" si="9"/>
        <v>0.53296999999999994</v>
      </c>
      <c r="L154" s="322">
        <f t="shared" si="8"/>
        <v>0.32298860740000007</v>
      </c>
      <c r="M154" s="324">
        <f t="shared" si="10"/>
        <v>0.67701139259999987</v>
      </c>
    </row>
    <row r="155" spans="1:13">
      <c r="A155" s="319" t="s">
        <v>596</v>
      </c>
      <c r="B155" s="319" t="s">
        <v>597</v>
      </c>
      <c r="C155" s="319" t="str">
        <f>INDEX(Countries_Codes[Earning Premium Database],MATCH(B155,Countries_Codes[Country Code 3 digit],0))</f>
        <v>Sub-Saharan Africa</v>
      </c>
      <c r="D155" s="319" t="str">
        <f>INDEX(Countries_Codes[Income level, World Bank (2024)],MATCH(B155,Countries_Codes[Country Code 3 digit],0))</f>
        <v>High-income countries</v>
      </c>
      <c r="E155" s="319" t="s">
        <v>2328</v>
      </c>
      <c r="F155" s="319">
        <v>2023</v>
      </c>
      <c r="G155" s="320">
        <v>2.1659999999999999E-2</v>
      </c>
      <c r="H155" s="319" t="s">
        <v>2328</v>
      </c>
      <c r="I155" s="319">
        <v>2023</v>
      </c>
      <c r="J155" s="320">
        <v>0.16552</v>
      </c>
      <c r="K155" s="321">
        <f t="shared" si="9"/>
        <v>0.16552</v>
      </c>
      <c r="L155" s="322">
        <f t="shared" si="8"/>
        <v>0.81640516320000001</v>
      </c>
      <c r="M155" s="324">
        <f t="shared" si="10"/>
        <v>0.18359483679999999</v>
      </c>
    </row>
    <row r="156" spans="1:13">
      <c r="A156" s="319" t="s">
        <v>632</v>
      </c>
      <c r="B156" s="319" t="s">
        <v>633</v>
      </c>
      <c r="C156" s="319" t="str">
        <f>INDEX(Countries_Codes[Earning Premium Database],MATCH(B156,Countries_Codes[Country Code 3 digit],0))</f>
        <v>Middle East &amp; North Africa</v>
      </c>
      <c r="D156" s="319" t="str">
        <f>INDEX(Countries_Codes[Income level, World Bank (2024)],MATCH(B156,Countries_Codes[Country Code 3 digit],0))</f>
        <v>Low-income countries</v>
      </c>
      <c r="E156" s="319" t="s">
        <v>2328</v>
      </c>
      <c r="F156" s="319">
        <v>2010</v>
      </c>
      <c r="G156" s="320">
        <v>5.2999999999999999E-2</v>
      </c>
      <c r="H156" s="319" t="s">
        <v>2327</v>
      </c>
      <c r="I156" s="319" t="s">
        <v>2327</v>
      </c>
      <c r="J156" s="320" t="s">
        <v>2327</v>
      </c>
      <c r="K156" s="321">
        <f t="shared" si="9"/>
        <v>0.77406999999999992</v>
      </c>
      <c r="L156" s="322">
        <f t="shared" si="8"/>
        <v>0.21395571000000005</v>
      </c>
      <c r="M156" s="324">
        <f t="shared" si="10"/>
        <v>0.78604428999999998</v>
      </c>
    </row>
    <row r="157" spans="1:13">
      <c r="A157" s="319" t="s">
        <v>382</v>
      </c>
      <c r="B157" s="319" t="s">
        <v>383</v>
      </c>
      <c r="C157" s="319" t="str">
        <f>INDEX(Countries_Codes[Earning Premium Database],MATCH(B157,Countries_Codes[Country Code 3 digit],0))</f>
        <v>Sub-Saharan Africa</v>
      </c>
      <c r="D157" s="319" t="str">
        <f>INDEX(Countries_Codes[Income level, World Bank (2024)],MATCH(B157,Countries_Codes[Country Code 3 digit],0))</f>
        <v>Low-income countries</v>
      </c>
      <c r="E157" s="319" t="s">
        <v>2403</v>
      </c>
      <c r="F157" s="319">
        <v>2018</v>
      </c>
      <c r="G157" s="320">
        <v>1.0249999999999999E-2</v>
      </c>
      <c r="H157" s="319" t="s">
        <v>2403</v>
      </c>
      <c r="I157" s="319">
        <v>2018</v>
      </c>
      <c r="J157" s="320">
        <v>0.96923000000000004</v>
      </c>
      <c r="K157" s="321">
        <f t="shared" si="9"/>
        <v>0.96923000000000004</v>
      </c>
      <c r="L157" s="322">
        <f t="shared" si="8"/>
        <v>3.0454607499999967E-2</v>
      </c>
      <c r="M157" s="324">
        <f t="shared" si="10"/>
        <v>0.96954539250000005</v>
      </c>
    </row>
    <row r="158" spans="1:13">
      <c r="A158" s="319" t="s">
        <v>644</v>
      </c>
      <c r="B158" s="319" t="s">
        <v>645</v>
      </c>
      <c r="C158" s="319" t="str">
        <f>INDEX(Countries_Codes[Earning Premium Database],MATCH(B158,Countries_Codes[Country Code 3 digit],0))</f>
        <v>Sub-Saharan Africa</v>
      </c>
      <c r="D158" s="319" t="str">
        <f>INDEX(Countries_Codes[Income level, World Bank (2024)],MATCH(B158,Countries_Codes[Country Code 3 digit],0))</f>
        <v>Low-income countries</v>
      </c>
      <c r="E158" s="319" t="s">
        <v>2348</v>
      </c>
      <c r="F158" s="319">
        <v>2022</v>
      </c>
      <c r="G158" s="320">
        <v>1.704E-2</v>
      </c>
      <c r="H158" s="319" t="s">
        <v>2348</v>
      </c>
      <c r="I158" s="319">
        <v>2022</v>
      </c>
      <c r="J158" s="320">
        <v>0.92343000000000008</v>
      </c>
      <c r="K158" s="321">
        <f t="shared" si="9"/>
        <v>0.92343000000000008</v>
      </c>
      <c r="L158" s="322">
        <f t="shared" si="8"/>
        <v>7.5265247199999927E-2</v>
      </c>
      <c r="M158" s="324">
        <f t="shared" si="10"/>
        <v>0.92473475280000006</v>
      </c>
    </row>
    <row r="159" spans="1:13">
      <c r="A159" s="319" t="s">
        <v>640</v>
      </c>
      <c r="B159" s="319" t="s">
        <v>641</v>
      </c>
      <c r="C159" s="319" t="str">
        <f>INDEX(Countries_Codes[Earning Premium Database],MATCH(B159,Countries_Codes[Country Code 3 digit],0))</f>
        <v>East Asia &amp; Pacific</v>
      </c>
      <c r="D159" s="319" t="str">
        <f>INDEX(Countries_Codes[Income level, World Bank (2024)],MATCH(B159,Countries_Codes[Country Code 3 digit],0))</f>
        <v>Upper-middle-income countries</v>
      </c>
      <c r="E159" s="319" t="s">
        <v>2328</v>
      </c>
      <c r="F159" s="319">
        <v>2024</v>
      </c>
      <c r="G159" s="320">
        <v>4.0500000000000006E-3</v>
      </c>
      <c r="H159" s="319" t="s">
        <v>2404</v>
      </c>
      <c r="I159" s="319">
        <v>2024</v>
      </c>
      <c r="J159" s="320">
        <v>0.63327</v>
      </c>
      <c r="K159" s="321">
        <f t="shared" si="9"/>
        <v>0.63327</v>
      </c>
      <c r="L159" s="322">
        <f t="shared" si="8"/>
        <v>0.36524474350000002</v>
      </c>
      <c r="M159" s="324">
        <f t="shared" si="10"/>
        <v>0.63475525649999998</v>
      </c>
    </row>
    <row r="160" spans="1:13">
      <c r="A160" s="319" t="s">
        <v>636</v>
      </c>
      <c r="B160" s="319" t="s">
        <v>637</v>
      </c>
      <c r="C160" s="319" t="str">
        <f>INDEX(Countries_Codes[Earning Premium Database],MATCH(B160,Countries_Codes[Country Code 3 digit],0))</f>
        <v>Europe &amp; Central Asia</v>
      </c>
      <c r="D160" s="319" t="str">
        <f>INDEX(Countries_Codes[Income level, World Bank (2024)],MATCH(B160,Countries_Codes[Country Code 3 digit],0))</f>
        <v>Lower-middle-income countries</v>
      </c>
      <c r="E160" s="319" t="s">
        <v>2328</v>
      </c>
      <c r="F160" s="319">
        <v>2016</v>
      </c>
      <c r="G160" s="320">
        <v>0</v>
      </c>
      <c r="H160" s="319" t="s">
        <v>2328</v>
      </c>
      <c r="I160" s="319">
        <v>2016</v>
      </c>
      <c r="J160" s="320">
        <v>0.64575000000000005</v>
      </c>
      <c r="K160" s="321">
        <f t="shared" si="9"/>
        <v>0.64575000000000005</v>
      </c>
      <c r="L160" s="322">
        <f t="shared" si="8"/>
        <v>0.35424999999999995</v>
      </c>
      <c r="M160" s="324">
        <f t="shared" si="10"/>
        <v>0.64575000000000005</v>
      </c>
    </row>
    <row r="161" spans="1:13">
      <c r="A161" s="319" t="s">
        <v>648</v>
      </c>
      <c r="B161" s="319" t="s">
        <v>649</v>
      </c>
      <c r="C161" s="319" t="str">
        <f>INDEX(Countries_Codes[Earning Premium Database],MATCH(B161,Countries_Codes[Country Code 3 digit],0))</f>
        <v>Latin America &amp; Caribbean</v>
      </c>
      <c r="D161" s="319" t="str">
        <f>INDEX(Countries_Codes[Income level, World Bank (2024)],MATCH(B161,Countries_Codes[Country Code 3 digit],0))</f>
        <v>High-income countries</v>
      </c>
      <c r="E161" s="319" t="s">
        <v>2405</v>
      </c>
      <c r="F161" s="319">
        <v>2023</v>
      </c>
      <c r="G161" s="320">
        <v>2.8029999999999999E-2</v>
      </c>
      <c r="H161" s="319" t="s">
        <v>2327</v>
      </c>
      <c r="I161" s="319" t="s">
        <v>2327</v>
      </c>
      <c r="J161" s="320" t="s">
        <v>2327</v>
      </c>
      <c r="K161" s="321">
        <f t="shared" si="9"/>
        <v>0.37032500000000002</v>
      </c>
      <c r="L161" s="322">
        <f t="shared" si="8"/>
        <v>0.61202520974999997</v>
      </c>
      <c r="M161" s="324">
        <f t="shared" si="10"/>
        <v>0.38797479025000003</v>
      </c>
    </row>
    <row r="162" spans="1:13">
      <c r="A162" s="319" t="s">
        <v>650</v>
      </c>
      <c r="B162" s="319" t="s">
        <v>651</v>
      </c>
      <c r="C162" s="319" t="str">
        <f>INDEX(Countries_Codes[Earning Premium Database],MATCH(B162,Countries_Codes[Country Code 3 digit],0))</f>
        <v>Middle East &amp; North Africa</v>
      </c>
      <c r="D162" s="319" t="str">
        <f>INDEX(Countries_Codes[Income level, World Bank (2024)],MATCH(B162,Countries_Codes[Country Code 3 digit],0))</f>
        <v>Lower-middle-income countries</v>
      </c>
      <c r="E162" s="319" t="s">
        <v>2406</v>
      </c>
      <c r="F162" s="319">
        <v>2023</v>
      </c>
      <c r="G162" s="320">
        <v>0.12753999999999999</v>
      </c>
      <c r="H162" s="319" t="s">
        <v>2406</v>
      </c>
      <c r="I162" s="319">
        <v>2019</v>
      </c>
      <c r="J162" s="320">
        <v>0.36910999999999999</v>
      </c>
      <c r="K162" s="321">
        <f t="shared" ref="K162:K178" si="11">IF(J162="",IFERROR(AVERAGEIFS($J$2:$J$178,$J$2:$J$178,"&lt;&gt;""",$C$2:$C$178,$C162,$D$2:$D$178,D162),AVERAGEIFS($J$2:$J$178,$J$2:$J$178,"&lt;&gt;""",$D$2:$D$178,D162)),J162)</f>
        <v>0.36910999999999999</v>
      </c>
      <c r="L162" s="322">
        <f t="shared" si="8"/>
        <v>0.55042628939999994</v>
      </c>
      <c r="M162" s="324">
        <f t="shared" si="10"/>
        <v>0.44957371060000006</v>
      </c>
    </row>
    <row r="163" spans="1:13">
      <c r="A163" s="319" t="s">
        <v>774</v>
      </c>
      <c r="B163" s="319" t="s">
        <v>653</v>
      </c>
      <c r="C163" s="319" t="str">
        <f>INDEX(Countries_Codes[Earning Premium Database],MATCH(B163,Countries_Codes[Country Code 3 digit],0))</f>
        <v>Europe &amp; Central Asia</v>
      </c>
      <c r="D163" s="319" t="str">
        <f>INDEX(Countries_Codes[Income level, World Bank (2024)],MATCH(B163,Countries_Codes[Country Code 3 digit],0))</f>
        <v>Upper-middle-income countries</v>
      </c>
      <c r="E163" s="319" t="s">
        <v>2336</v>
      </c>
      <c r="F163" s="319">
        <v>2024</v>
      </c>
      <c r="G163" s="320">
        <v>7.400000000000001E-2</v>
      </c>
      <c r="H163" s="319" t="s">
        <v>2333</v>
      </c>
      <c r="I163" s="319">
        <v>2023</v>
      </c>
      <c r="J163" s="320">
        <v>0.27306999999999998</v>
      </c>
      <c r="K163" s="321">
        <f t="shared" si="11"/>
        <v>0.27306999999999998</v>
      </c>
      <c r="L163" s="322">
        <f t="shared" si="8"/>
        <v>0.67313718</v>
      </c>
      <c r="M163" s="324">
        <f t="shared" si="10"/>
        <v>0.32686282</v>
      </c>
    </row>
    <row r="164" spans="1:13">
      <c r="A164" s="319" t="s">
        <v>777</v>
      </c>
      <c r="B164" s="319" t="s">
        <v>635</v>
      </c>
      <c r="C164" s="319" t="str">
        <f>INDEX(Countries_Codes[Earning Premium Database],MATCH(B164,Countries_Codes[Country Code 3 digit],0))</f>
        <v>East Asia &amp; Pacific</v>
      </c>
      <c r="D164" s="319" t="str">
        <f>INDEX(Countries_Codes[Income level, World Bank (2024)],MATCH(B164,Countries_Codes[Country Code 3 digit],0))</f>
        <v>High-income countries</v>
      </c>
      <c r="E164" s="319" t="s">
        <v>2328</v>
      </c>
      <c r="F164" s="319">
        <v>2020</v>
      </c>
      <c r="G164" s="320">
        <v>3.1719999999999998E-2</v>
      </c>
      <c r="H164" s="319" t="s">
        <v>2327</v>
      </c>
      <c r="I164" s="319" t="s">
        <v>2327</v>
      </c>
      <c r="J164" s="320" t="s">
        <v>2327</v>
      </c>
      <c r="K164" s="321">
        <f t="shared" si="11"/>
        <v>0.27546999999999999</v>
      </c>
      <c r="L164" s="322">
        <f t="shared" si="8"/>
        <v>0.70154790840000003</v>
      </c>
      <c r="M164" s="324">
        <f t="shared" si="10"/>
        <v>0.29845209159999997</v>
      </c>
    </row>
    <row r="165" spans="1:13">
      <c r="A165" s="319" t="s">
        <v>2407</v>
      </c>
      <c r="B165" s="319" t="s">
        <v>639</v>
      </c>
      <c r="C165" s="319" t="str">
        <f>INDEX(Countries_Codes[Earning Premium Database],MATCH(B165,Countries_Codes[Country Code 3 digit],0))</f>
        <v>Sub-Saharan Africa</v>
      </c>
      <c r="D165" s="319" t="str">
        <f>INDEX(Countries_Codes[Income level, World Bank (2024)],MATCH(B165,Countries_Codes[Country Code 3 digit],0))</f>
        <v>Lower-middle-income countries</v>
      </c>
      <c r="E165" s="319" t="s">
        <v>2328</v>
      </c>
      <c r="F165" s="319">
        <v>2020</v>
      </c>
      <c r="G165" s="320">
        <v>1.4239999999999999E-2</v>
      </c>
      <c r="H165" s="319" t="s">
        <v>2328</v>
      </c>
      <c r="I165" s="319">
        <v>2020</v>
      </c>
      <c r="J165" s="320">
        <v>0.93581999999999999</v>
      </c>
      <c r="K165" s="321">
        <f t="shared" si="11"/>
        <v>0.93581999999999999</v>
      </c>
      <c r="L165" s="322">
        <f t="shared" ref="L165:L178" si="12">(1-G165)*(1-K165)</f>
        <v>6.3266076800000015E-2</v>
      </c>
      <c r="M165" s="324">
        <f t="shared" si="10"/>
        <v>0.93673392320000004</v>
      </c>
    </row>
    <row r="166" spans="1:13">
      <c r="A166" s="319" t="s">
        <v>656</v>
      </c>
      <c r="B166" s="319" t="s">
        <v>657</v>
      </c>
      <c r="C166" s="319" t="str">
        <f>INDEX(Countries_Codes[Earning Premium Database],MATCH(B166,Countries_Codes[Country Code 3 digit],0))</f>
        <v>Sub-Saharan Africa</v>
      </c>
      <c r="D166" s="319" t="str">
        <f>INDEX(Countries_Codes[Income level, World Bank (2024)],MATCH(B166,Countries_Codes[Country Code 3 digit],0))</f>
        <v>Low-income countries</v>
      </c>
      <c r="E166" s="319" t="s">
        <v>2370</v>
      </c>
      <c r="F166" s="319">
        <v>2021</v>
      </c>
      <c r="G166" s="320">
        <v>2.598E-2</v>
      </c>
      <c r="H166" s="319" t="s">
        <v>2370</v>
      </c>
      <c r="I166" s="319">
        <v>2021</v>
      </c>
      <c r="J166" s="320">
        <v>0.95206000000000002</v>
      </c>
      <c r="K166" s="321">
        <f t="shared" si="11"/>
        <v>0.95206000000000002</v>
      </c>
      <c r="L166" s="322">
        <f t="shared" si="12"/>
        <v>4.669451879999998E-2</v>
      </c>
      <c r="M166" s="324">
        <f t="shared" si="10"/>
        <v>0.95330548120000003</v>
      </c>
    </row>
    <row r="167" spans="1:13">
      <c r="A167" s="319" t="s">
        <v>658</v>
      </c>
      <c r="B167" s="319" t="s">
        <v>659</v>
      </c>
      <c r="C167" s="319" t="str">
        <f>INDEX(Countries_Codes[Earning Premium Database],MATCH(B167,Countries_Codes[Country Code 3 digit],0))</f>
        <v>Europe &amp; Central Asia</v>
      </c>
      <c r="D167" s="319" t="str">
        <f>INDEX(Countries_Codes[Income level, World Bank (2024)],MATCH(B167,Countries_Codes[Country Code 3 digit],0))</f>
        <v>Upper-middle-income countries</v>
      </c>
      <c r="E167" s="319" t="s">
        <v>2328</v>
      </c>
      <c r="F167" s="319">
        <v>2021</v>
      </c>
      <c r="G167" s="320">
        <v>9.1940000000000008E-2</v>
      </c>
      <c r="H167" s="319" t="s">
        <v>2327</v>
      </c>
      <c r="I167" s="319" t="s">
        <v>2327</v>
      </c>
      <c r="J167" s="320" t="s">
        <v>2327</v>
      </c>
      <c r="K167" s="321">
        <f t="shared" si="11"/>
        <v>0.33085285714285717</v>
      </c>
      <c r="L167" s="322">
        <f t="shared" si="12"/>
        <v>0.60762575454285706</v>
      </c>
      <c r="M167" s="324">
        <f t="shared" si="10"/>
        <v>0.39237424545714294</v>
      </c>
    </row>
    <row r="168" spans="1:13">
      <c r="A168" s="319" t="s">
        <v>666</v>
      </c>
      <c r="B168" s="319" t="s">
        <v>667</v>
      </c>
      <c r="C168" s="319" t="str">
        <f>INDEX(Countries_Codes[Earning Premium Database],MATCH(B168,Countries_Codes[Country Code 3 digit],0))</f>
        <v>Latin America &amp; Caribbean</v>
      </c>
      <c r="D168" s="319" t="str">
        <f>INDEX(Countries_Codes[Income level, World Bank (2024)],MATCH(B168,Countries_Codes[Country Code 3 digit],0))</f>
        <v>High-income countries</v>
      </c>
      <c r="E168" s="319" t="s">
        <v>2391</v>
      </c>
      <c r="F168" s="319">
        <v>2024</v>
      </c>
      <c r="G168" s="320">
        <v>5.5540000000000006E-2</v>
      </c>
      <c r="H168" s="319" t="s">
        <v>2391</v>
      </c>
      <c r="I168" s="319">
        <v>2024</v>
      </c>
      <c r="J168" s="320">
        <v>0.28549000000000002</v>
      </c>
      <c r="K168" s="321">
        <f t="shared" si="11"/>
        <v>0.28549000000000002</v>
      </c>
      <c r="L168" s="322">
        <f t="shared" si="12"/>
        <v>0.67482611459999997</v>
      </c>
      <c r="M168" s="324">
        <f t="shared" si="10"/>
        <v>0.32517388540000003</v>
      </c>
    </row>
    <row r="169" spans="1:13">
      <c r="A169" s="319" t="s">
        <v>2408</v>
      </c>
      <c r="B169" s="319" t="s">
        <v>665</v>
      </c>
      <c r="C169" s="319" t="str">
        <f>INDEX(Countries_Codes[Earning Premium Database],MATCH(B169,Countries_Codes[Country Code 3 digit],0))</f>
        <v>North America</v>
      </c>
      <c r="D169" s="319" t="str">
        <f>INDEX(Countries_Codes[Income level, World Bank (2024)],MATCH(B169,Countries_Codes[Country Code 3 digit],0))</f>
        <v>High-income countries</v>
      </c>
      <c r="E169" s="319" t="s">
        <v>2409</v>
      </c>
      <c r="F169" s="319">
        <v>2024</v>
      </c>
      <c r="G169" s="320">
        <v>3.2910000000000002E-2</v>
      </c>
      <c r="H169" s="319" t="s">
        <v>2327</v>
      </c>
      <c r="I169" s="319" t="s">
        <v>2327</v>
      </c>
      <c r="J169" s="320" t="s">
        <v>2327</v>
      </c>
      <c r="K169" s="321">
        <f t="shared" si="11"/>
        <v>0.10858720930232556</v>
      </c>
      <c r="L169" s="322">
        <f t="shared" si="12"/>
        <v>0.86207639575581396</v>
      </c>
      <c r="M169" s="324">
        <f t="shared" si="10"/>
        <v>0.13792360424418604</v>
      </c>
    </row>
    <row r="170" spans="1:13">
      <c r="A170" s="319" t="s">
        <v>668</v>
      </c>
      <c r="B170" s="319" t="s">
        <v>669</v>
      </c>
      <c r="C170" s="319" t="str">
        <f>INDEX(Countries_Codes[Earning Premium Database],MATCH(B170,Countries_Codes[Country Code 3 digit],0))</f>
        <v>Europe &amp; Central Asia</v>
      </c>
      <c r="D170" s="319" t="str">
        <f>INDEX(Countries_Codes[Income level, World Bank (2024)],MATCH(B170,Countries_Codes[Country Code 3 digit],0))</f>
        <v>Lower-middle-income countries</v>
      </c>
      <c r="E170" s="319" t="s">
        <v>2328</v>
      </c>
      <c r="F170" s="319">
        <v>2020</v>
      </c>
      <c r="G170" s="320">
        <v>4.1540000000000001E-2</v>
      </c>
      <c r="H170" s="319" t="s">
        <v>2327</v>
      </c>
      <c r="I170" s="319" t="s">
        <v>2327</v>
      </c>
      <c r="J170" s="320" t="s">
        <v>2327</v>
      </c>
      <c r="K170" s="321">
        <f t="shared" si="11"/>
        <v>0.61666500000000002</v>
      </c>
      <c r="L170" s="322">
        <f t="shared" si="12"/>
        <v>0.36741126409999997</v>
      </c>
      <c r="M170" s="324">
        <f t="shared" si="10"/>
        <v>0.63258873589999998</v>
      </c>
    </row>
    <row r="171" spans="1:13">
      <c r="A171" s="319" t="s">
        <v>2410</v>
      </c>
      <c r="B171" s="319" t="s">
        <v>673</v>
      </c>
      <c r="C171" s="319" t="str">
        <f>INDEX(Countries_Codes[Earning Premium Database],MATCH(B171,Countries_Codes[Country Code 3 digit],0))</f>
        <v>Latin America &amp; Caribbean</v>
      </c>
      <c r="D171" s="319" t="str">
        <f>INDEX(Countries_Codes[Income level, World Bank (2024)],MATCH(B171,Countries_Codes[Country Code 3 digit],0))</f>
        <v>Upper-middle-income countries</v>
      </c>
      <c r="E171" s="319" t="s">
        <v>2411</v>
      </c>
      <c r="F171" s="319">
        <v>2020</v>
      </c>
      <c r="G171" s="320">
        <v>6.6199999999999995E-2</v>
      </c>
      <c r="H171" s="319" t="s">
        <v>2411</v>
      </c>
      <c r="I171" s="319">
        <v>2017</v>
      </c>
      <c r="J171" s="320">
        <v>0.58335000000000004</v>
      </c>
      <c r="K171" s="321">
        <f t="shared" si="11"/>
        <v>0.58335000000000004</v>
      </c>
      <c r="L171" s="322">
        <f t="shared" si="12"/>
        <v>0.38906776999999998</v>
      </c>
      <c r="M171" s="324">
        <f t="shared" si="10"/>
        <v>0.61093222999999997</v>
      </c>
    </row>
    <row r="172" spans="1:13">
      <c r="A172" s="319" t="s">
        <v>2313</v>
      </c>
      <c r="B172" s="319" t="s">
        <v>675</v>
      </c>
      <c r="C172" s="319" t="str">
        <f>INDEX(Countries_Codes[Earning Premium Database],MATCH(B172,Countries_Codes[Country Code 3 digit],0))</f>
        <v>East Asia &amp; Pacific</v>
      </c>
      <c r="D172" s="319" t="str">
        <f>INDEX(Countries_Codes[Income level, World Bank (2024)],MATCH(B172,Countries_Codes[Country Code 3 digit],0))</f>
        <v>Lower-middle-income countries</v>
      </c>
      <c r="E172" s="319" t="s">
        <v>2328</v>
      </c>
      <c r="F172" s="319">
        <v>2023</v>
      </c>
      <c r="G172" s="320">
        <v>1.1160000000000002E-2</v>
      </c>
      <c r="H172" s="319" t="s">
        <v>2328</v>
      </c>
      <c r="I172" s="319">
        <v>2023</v>
      </c>
      <c r="J172" s="320">
        <v>0.67661000000000004</v>
      </c>
      <c r="K172" s="321">
        <f t="shared" si="11"/>
        <v>0.67661000000000004</v>
      </c>
      <c r="L172" s="322">
        <f t="shared" si="12"/>
        <v>0.31978096759999997</v>
      </c>
      <c r="M172" s="324">
        <f t="shared" si="10"/>
        <v>0.68021903240000003</v>
      </c>
    </row>
    <row r="173" spans="1:13">
      <c r="A173" s="319" t="s">
        <v>670</v>
      </c>
      <c r="B173" s="319" t="s">
        <v>671</v>
      </c>
      <c r="C173" s="319" t="str">
        <f>INDEX(Countries_Codes[Earning Premium Database],MATCH(B173,Countries_Codes[Country Code 3 digit],0))</f>
        <v>East Asia &amp; Pacific</v>
      </c>
      <c r="D173" s="319" t="str">
        <f>INDEX(Countries_Codes[Income level, World Bank (2024)],MATCH(B173,Countries_Codes[Country Code 3 digit],0))</f>
        <v>Lower-middle-income countries</v>
      </c>
      <c r="E173" s="319" t="s">
        <v>2326</v>
      </c>
      <c r="F173" s="319">
        <v>2020</v>
      </c>
      <c r="G173" s="320">
        <v>2.7980000000000001E-2</v>
      </c>
      <c r="H173" s="319" t="s">
        <v>2363</v>
      </c>
      <c r="I173" s="319">
        <v>2019</v>
      </c>
      <c r="J173" s="320">
        <v>0.72400999999999993</v>
      </c>
      <c r="K173" s="321">
        <f t="shared" si="11"/>
        <v>0.72400999999999993</v>
      </c>
      <c r="L173" s="322">
        <f t="shared" si="12"/>
        <v>0.26826779980000004</v>
      </c>
      <c r="M173" s="324">
        <f t="shared" si="10"/>
        <v>0.73173220019999996</v>
      </c>
    </row>
    <row r="174" spans="1:13">
      <c r="A174" s="319" t="s">
        <v>586</v>
      </c>
      <c r="B174" s="319" t="s">
        <v>587</v>
      </c>
      <c r="C174" s="319" t="str">
        <f>INDEX(Countries_Codes[Earning Premium Database],MATCH(B174,Countries_Codes[Country Code 3 digit],0))</f>
        <v>East Asia &amp; Pacific</v>
      </c>
      <c r="D174" s="319" t="str">
        <f>INDEX(Countries_Codes[Income level, World Bank (2024)],MATCH(B174,Countries_Codes[Country Code 3 digit],0))</f>
        <v>Upper-middle-income countries</v>
      </c>
      <c r="E174" s="319" t="s">
        <v>2328</v>
      </c>
      <c r="F174" s="319">
        <v>2022</v>
      </c>
      <c r="G174" s="320">
        <v>3.2250000000000001E-2</v>
      </c>
      <c r="H174" s="319" t="s">
        <v>2328</v>
      </c>
      <c r="I174" s="319">
        <v>2022</v>
      </c>
      <c r="J174" s="320">
        <v>0.51575000000000004</v>
      </c>
      <c r="K174" s="321">
        <f t="shared" si="11"/>
        <v>0.51575000000000004</v>
      </c>
      <c r="L174" s="322">
        <f t="shared" si="12"/>
        <v>0.46863293749999996</v>
      </c>
      <c r="M174" s="324">
        <f t="shared" si="10"/>
        <v>0.53136706249999999</v>
      </c>
    </row>
    <row r="175" spans="1:13">
      <c r="A175" s="319" t="s">
        <v>2315</v>
      </c>
      <c r="B175" s="319" t="s">
        <v>679</v>
      </c>
      <c r="C175" s="319" t="str">
        <f>INDEX(Countries_Codes[Earning Premium Database],MATCH(B175,Countries_Codes[Country Code 3 digit],0))</f>
        <v>Middle East &amp; North Africa</v>
      </c>
      <c r="D175" s="319" t="str">
        <f>INDEX(Countries_Codes[Income level, World Bank (2024)],MATCH(B175,Countries_Codes[Country Code 3 digit],0))</f>
        <v>Low-income countries</v>
      </c>
      <c r="E175" s="319" t="s">
        <v>2328</v>
      </c>
      <c r="F175" s="319">
        <v>2014</v>
      </c>
      <c r="G175" s="320">
        <v>9.4899999999999998E-2</v>
      </c>
      <c r="H175" s="319" t="s">
        <v>2328</v>
      </c>
      <c r="I175" s="319">
        <v>2014</v>
      </c>
      <c r="J175" s="320">
        <v>0.77406999999999992</v>
      </c>
      <c r="K175" s="321">
        <f t="shared" si="11"/>
        <v>0.77406999999999992</v>
      </c>
      <c r="L175" s="322">
        <f t="shared" si="12"/>
        <v>0.20448924300000007</v>
      </c>
      <c r="M175" s="324">
        <f t="shared" si="10"/>
        <v>0.79551075699999996</v>
      </c>
    </row>
    <row r="176" spans="1:13">
      <c r="A176" s="319" t="s">
        <v>610</v>
      </c>
      <c r="B176" s="319" t="s">
        <v>611</v>
      </c>
      <c r="C176" s="319" t="str">
        <f>INDEX(Countries_Codes[Earning Premium Database],MATCH(B176,Countries_Codes[Country Code 3 digit],0))</f>
        <v>Sub-Saharan Africa</v>
      </c>
      <c r="D176" s="319" t="str">
        <f>INDEX(Countries_Codes[Income level, World Bank (2024)],MATCH(B176,Countries_Codes[Country Code 3 digit],0))</f>
        <v>Upper-middle-income countries</v>
      </c>
      <c r="E176" s="319" t="s">
        <v>2412</v>
      </c>
      <c r="F176" s="319">
        <v>2024</v>
      </c>
      <c r="G176" s="320">
        <v>0.28887000000000002</v>
      </c>
      <c r="H176" s="319" t="s">
        <v>2412</v>
      </c>
      <c r="I176" s="319">
        <v>2024</v>
      </c>
      <c r="J176" s="320">
        <v>0.34901000000000004</v>
      </c>
      <c r="K176" s="321">
        <f t="shared" si="11"/>
        <v>0.34901000000000004</v>
      </c>
      <c r="L176" s="322">
        <f t="shared" si="12"/>
        <v>0.46293851870000002</v>
      </c>
      <c r="M176" s="324">
        <f t="shared" si="10"/>
        <v>0.53706148129999998</v>
      </c>
    </row>
    <row r="177" spans="1:13">
      <c r="A177" s="319" t="s">
        <v>680</v>
      </c>
      <c r="B177" s="319" t="s">
        <v>681</v>
      </c>
      <c r="C177" s="319" t="str">
        <f>INDEX(Countries_Codes[Earning Premium Database],MATCH(B177,Countries_Codes[Country Code 3 digit],0))</f>
        <v>Sub-Saharan Africa</v>
      </c>
      <c r="D177" s="319" t="str">
        <f>INDEX(Countries_Codes[Income level, World Bank (2024)],MATCH(B177,Countries_Codes[Country Code 3 digit],0))</f>
        <v>Lower-middle-income countries</v>
      </c>
      <c r="E177" s="319" t="s">
        <v>2328</v>
      </c>
      <c r="F177" s="319">
        <v>2023</v>
      </c>
      <c r="G177" s="320">
        <v>4.7210000000000002E-2</v>
      </c>
      <c r="H177" s="319" t="s">
        <v>2328</v>
      </c>
      <c r="I177" s="319">
        <v>2023</v>
      </c>
      <c r="J177" s="320">
        <v>0.83831999999999995</v>
      </c>
      <c r="K177" s="321">
        <f t="shared" si="11"/>
        <v>0.83831999999999995</v>
      </c>
      <c r="L177" s="322">
        <f t="shared" si="12"/>
        <v>0.15404708720000004</v>
      </c>
      <c r="M177" s="324">
        <f t="shared" si="10"/>
        <v>0.84595291279999996</v>
      </c>
    </row>
    <row r="178" spans="1:13">
      <c r="A178" s="319" t="s">
        <v>682</v>
      </c>
      <c r="B178" s="319" t="s">
        <v>683</v>
      </c>
      <c r="C178" s="319" t="str">
        <f>INDEX(Countries_Codes[Earning Premium Database],MATCH(B178,Countries_Codes[Country Code 3 digit],0))</f>
        <v>Sub-Saharan Africa</v>
      </c>
      <c r="D178" s="319" t="str">
        <f>INDEX(Countries_Codes[Income level, World Bank (2024)],MATCH(B178,Countries_Codes[Country Code 3 digit],0))</f>
        <v>Lower-middle-income countries</v>
      </c>
      <c r="E178" s="319" t="s">
        <v>2328</v>
      </c>
      <c r="F178" s="319">
        <v>2023</v>
      </c>
      <c r="G178" s="320">
        <v>7.5800000000000006E-2</v>
      </c>
      <c r="H178" s="319" t="s">
        <v>2328</v>
      </c>
      <c r="I178" s="319">
        <v>2023</v>
      </c>
      <c r="J178" s="320">
        <v>0.88073999999999997</v>
      </c>
      <c r="K178" s="321">
        <f t="shared" si="11"/>
        <v>0.88073999999999997</v>
      </c>
      <c r="L178" s="322">
        <f t="shared" si="12"/>
        <v>0.11022009200000003</v>
      </c>
      <c r="M178" s="324">
        <f t="shared" si="10"/>
        <v>0.88977990799999995</v>
      </c>
    </row>
  </sheetData>
  <autoFilter ref="A1:M178" xr:uid="{F335BFD3-BF28-2F4C-8556-21318EEF4B3B}"/>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F67CC-83B5-EC4D-A13C-D4E909F17E70}">
  <sheetPr>
    <tabColor theme="9"/>
  </sheetPr>
  <dimension ref="A1:AE190"/>
  <sheetViews>
    <sheetView showGridLines="0" tabSelected="1" zoomScale="85" zoomScaleNormal="85" workbookViewId="0">
      <pane xSplit="5" ySplit="1" topLeftCell="F16" activePane="bottomRight" state="frozen"/>
      <selection pane="topRight" activeCell="F1" sqref="F1"/>
      <selection pane="bottomLeft" activeCell="A2" sqref="A2"/>
      <selection pane="bottomRight" activeCell="G46" sqref="G46"/>
    </sheetView>
  </sheetViews>
  <sheetFormatPr defaultColWidth="10.69921875" defaultRowHeight="15.6"/>
  <cols>
    <col min="1" max="1" width="18.5" customWidth="1"/>
    <col min="2" max="2" width="9.796875" customWidth="1"/>
    <col min="3" max="4" width="10.69921875" customWidth="1"/>
    <col min="5" max="5" width="15.69921875" customWidth="1"/>
    <col min="6" max="6" width="23.296875" customWidth="1"/>
    <col min="7" max="7" width="27.5" customWidth="1"/>
    <col min="8" max="8" width="22.19921875" customWidth="1"/>
    <col min="9" max="9" width="19.5" customWidth="1"/>
    <col min="10" max="10" width="19.69921875" customWidth="1"/>
    <col min="11" max="11" width="37.19921875" customWidth="1"/>
    <col min="12" max="12" width="13.19921875" customWidth="1"/>
    <col min="13" max="13" width="17" customWidth="1"/>
    <col min="14" max="14" width="15.796875" customWidth="1"/>
    <col min="15" max="15" width="12" customWidth="1"/>
    <col min="16" max="19" width="13.19921875" customWidth="1"/>
    <col min="20" max="20" width="11.8984375" bestFit="1" customWidth="1"/>
    <col min="21" max="21" width="25.5" customWidth="1"/>
    <col min="22" max="23" width="19.19921875" customWidth="1"/>
    <col min="24" max="24" width="13.19921875" customWidth="1"/>
    <col min="25" max="25" width="30.5" bestFit="1" customWidth="1"/>
    <col min="26" max="26" width="13" customWidth="1"/>
    <col min="27" max="27" width="13.19921875" customWidth="1"/>
    <col min="28" max="28" width="30.5" bestFit="1" customWidth="1"/>
    <col min="29" max="29" width="13" customWidth="1"/>
    <col min="30" max="30" width="16.59765625" customWidth="1"/>
    <col min="31" max="31" width="13" customWidth="1"/>
    <col min="32" max="32" width="20" customWidth="1"/>
    <col min="33" max="33" width="23.296875" customWidth="1"/>
    <col min="34" max="34" width="21.69921875" customWidth="1"/>
    <col min="35" max="35" width="20" customWidth="1"/>
  </cols>
  <sheetData>
    <row r="1" spans="1:31" ht="63" thickBot="1">
      <c r="A1" s="160" t="s">
        <v>4</v>
      </c>
      <c r="B1" s="160" t="s">
        <v>35</v>
      </c>
      <c r="C1" s="160" t="s">
        <v>36</v>
      </c>
      <c r="D1" s="160" t="s">
        <v>37</v>
      </c>
      <c r="E1" s="160" t="s">
        <v>1906</v>
      </c>
      <c r="F1" s="160" t="s">
        <v>3031</v>
      </c>
      <c r="G1" s="160" t="s">
        <v>3032</v>
      </c>
      <c r="H1" s="160" t="s">
        <v>38</v>
      </c>
      <c r="I1" s="160" t="s">
        <v>39</v>
      </c>
      <c r="J1" s="160" t="s">
        <v>1561</v>
      </c>
      <c r="K1" s="160" t="s">
        <v>40</v>
      </c>
      <c r="L1" s="161" t="s">
        <v>41</v>
      </c>
      <c r="M1" s="162" t="s">
        <v>42</v>
      </c>
      <c r="N1" s="163" t="s">
        <v>43</v>
      </c>
      <c r="O1" s="166" t="s">
        <v>44</v>
      </c>
      <c r="P1" s="166" t="s">
        <v>45</v>
      </c>
      <c r="Q1" s="166" t="s">
        <v>46</v>
      </c>
      <c r="R1" s="167" t="s">
        <v>47</v>
      </c>
      <c r="S1" s="168" t="s">
        <v>48</v>
      </c>
      <c r="T1" s="169" t="s">
        <v>49</v>
      </c>
      <c r="U1" s="170" t="s">
        <v>50</v>
      </c>
      <c r="V1" s="171" t="s">
        <v>51</v>
      </c>
      <c r="W1" s="172" t="s">
        <v>52</v>
      </c>
      <c r="X1" s="173" t="s">
        <v>3104</v>
      </c>
      <c r="Y1" s="174" t="s">
        <v>54</v>
      </c>
      <c r="Z1" s="193" t="s">
        <v>3107</v>
      </c>
      <c r="AA1" s="418" t="s">
        <v>3102</v>
      </c>
      <c r="AB1" s="419" t="s">
        <v>1565</v>
      </c>
      <c r="AC1" s="420" t="s">
        <v>3103</v>
      </c>
      <c r="AD1" s="193" t="s">
        <v>3101</v>
      </c>
      <c r="AE1" s="193" t="s">
        <v>1785</v>
      </c>
    </row>
    <row r="2" spans="1:31">
      <c r="A2" s="90" t="s">
        <v>3033</v>
      </c>
      <c r="B2" s="91">
        <v>2025</v>
      </c>
      <c r="C2" s="90" t="s">
        <v>612</v>
      </c>
      <c r="D2" s="90" t="s">
        <v>613</v>
      </c>
      <c r="E2" s="90" t="s">
        <v>1907</v>
      </c>
      <c r="F2" s="90" t="s">
        <v>3078</v>
      </c>
      <c r="G2" s="90" t="s">
        <v>3079</v>
      </c>
      <c r="H2" s="90" t="s">
        <v>3105</v>
      </c>
      <c r="I2" s="90" t="s">
        <v>6</v>
      </c>
      <c r="J2" s="92" t="s">
        <v>6</v>
      </c>
      <c r="K2" s="90" t="s">
        <v>3080</v>
      </c>
      <c r="L2" s="92" t="s">
        <v>69</v>
      </c>
      <c r="M2" s="164">
        <f>'Parameters | Agora'!B166</f>
        <v>7.0000000000000007E-2</v>
      </c>
      <c r="N2" s="165" t="s">
        <v>70</v>
      </c>
      <c r="O2" s="176">
        <v>1</v>
      </c>
      <c r="P2" s="177">
        <v>1</v>
      </c>
      <c r="Q2" s="178">
        <v>1</v>
      </c>
      <c r="R2" s="179">
        <v>1</v>
      </c>
      <c r="S2" s="180" t="s">
        <v>60</v>
      </c>
      <c r="T2" s="183">
        <f>'Parameters | Agora'!B171</f>
        <v>15952</v>
      </c>
      <c r="U2" s="182" t="s">
        <v>3061</v>
      </c>
      <c r="V2" s="187">
        <f t="shared" ref="V2:V37" si="0">M2*O2*P2*Q2*R2*T2</f>
        <v>1116.6400000000001</v>
      </c>
      <c r="W2" s="186" t="str">
        <f t="shared" ref="W2:W37" si="1">_xlfn.TEXTBEFORE(U2,"/")</f>
        <v>EUR</v>
      </c>
      <c r="X2" s="417">
        <v>1</v>
      </c>
      <c r="Y2" s="190" t="str">
        <f t="shared" ref="Y2:Y37" si="2">_xlfn.CONCAT("EUR impact/",W2)</f>
        <v>EUR impact/EUR</v>
      </c>
      <c r="Z2" s="175">
        <f t="shared" ref="Z2:Z37" si="3">IF($L2&lt;&gt;"Business value",V2*X2,0)</f>
        <v>1116.6400000000001</v>
      </c>
      <c r="AA2" s="417">
        <f>INDEX('HUT 2023 | VI'!$G:$G,MATCH($D14,'HUT 2023 | VI'!$B:$B,0))</f>
        <v>2.354758421087829</v>
      </c>
      <c r="AB2" s="190" t="str">
        <f t="shared" ref="AB2:AB37" si="4">_xlfn.CONCAT("EUR impact/",W2)</f>
        <v>EUR impact/EUR</v>
      </c>
      <c r="AC2" s="175">
        <f t="shared" ref="AC2:AC37" si="5">IF($L2&lt;&gt;"Business value",V2*AA2,0)</f>
        <v>2629.4174433235135</v>
      </c>
      <c r="AD2" s="410"/>
      <c r="AE2" s="175">
        <f t="shared" ref="AE2:AE44" si="6">IF($L2="Business value",V2*X2,0)</f>
        <v>0</v>
      </c>
    </row>
    <row r="3" spans="1:31">
      <c r="A3" s="90" t="s">
        <v>3033</v>
      </c>
      <c r="B3" s="91">
        <v>2025</v>
      </c>
      <c r="C3" s="90" t="s">
        <v>612</v>
      </c>
      <c r="D3" s="90" t="s">
        <v>613</v>
      </c>
      <c r="E3" s="90" t="s">
        <v>1907</v>
      </c>
      <c r="F3" s="90" t="s">
        <v>3078</v>
      </c>
      <c r="G3" s="90" t="s">
        <v>3081</v>
      </c>
      <c r="H3" s="90" t="s">
        <v>3105</v>
      </c>
      <c r="I3" s="90" t="s">
        <v>6</v>
      </c>
      <c r="J3" s="92" t="s">
        <v>6</v>
      </c>
      <c r="K3" s="90" t="s">
        <v>1798</v>
      </c>
      <c r="L3" s="92" t="s">
        <v>69</v>
      </c>
      <c r="M3" s="164">
        <f>'Parameters | Agora'!B166</f>
        <v>7.0000000000000007E-2</v>
      </c>
      <c r="N3" s="165" t="s">
        <v>70</v>
      </c>
      <c r="O3" s="176">
        <v>1</v>
      </c>
      <c r="P3" s="177">
        <v>1</v>
      </c>
      <c r="Q3" s="178">
        <v>1</v>
      </c>
      <c r="R3" s="179">
        <v>1</v>
      </c>
      <c r="S3" s="180" t="s">
        <v>60</v>
      </c>
      <c r="T3" s="183">
        <f>'Parameters | Agora'!B172*'Parameters | Agora'!B179*'Parameters | Agora'!B173</f>
        <v>282.874989521538</v>
      </c>
      <c r="U3" s="182" t="s">
        <v>3061</v>
      </c>
      <c r="V3" s="187">
        <f t="shared" si="0"/>
        <v>19.801249266507661</v>
      </c>
      <c r="W3" s="186" t="str">
        <f t="shared" si="1"/>
        <v>EUR</v>
      </c>
      <c r="X3" s="417">
        <v>1</v>
      </c>
      <c r="Y3" s="190" t="str">
        <f t="shared" si="2"/>
        <v>EUR impact/EUR</v>
      </c>
      <c r="Z3" s="175">
        <f t="shared" si="3"/>
        <v>19.801249266507661</v>
      </c>
      <c r="AA3" s="417">
        <f>INDEX('HUT 2023 | VI'!$G:$G,MATCH($D15,'HUT 2023 | VI'!$B:$B,0))</f>
        <v>2.354758421087829</v>
      </c>
      <c r="AB3" s="190" t="str">
        <f t="shared" si="4"/>
        <v>EUR impact/EUR</v>
      </c>
      <c r="AC3" s="175">
        <f t="shared" si="5"/>
        <v>46.627158458368108</v>
      </c>
      <c r="AD3" s="410"/>
      <c r="AE3" s="175">
        <f t="shared" si="6"/>
        <v>0</v>
      </c>
    </row>
    <row r="4" spans="1:31">
      <c r="A4" s="90" t="s">
        <v>3033</v>
      </c>
      <c r="B4" s="91">
        <v>2025</v>
      </c>
      <c r="C4" s="90" t="s">
        <v>612</v>
      </c>
      <c r="D4" s="90" t="s">
        <v>613</v>
      </c>
      <c r="E4" s="90" t="s">
        <v>1907</v>
      </c>
      <c r="F4" s="90" t="s">
        <v>3078</v>
      </c>
      <c r="G4" s="90" t="s">
        <v>3082</v>
      </c>
      <c r="H4" s="90" t="s">
        <v>68</v>
      </c>
      <c r="I4" s="90" t="s">
        <v>6</v>
      </c>
      <c r="J4" s="92" t="s">
        <v>6</v>
      </c>
      <c r="K4" s="90" t="s">
        <v>3083</v>
      </c>
      <c r="L4" s="92" t="s">
        <v>69</v>
      </c>
      <c r="M4" s="164">
        <f>'Parameters | Agora'!B166</f>
        <v>7.0000000000000007E-2</v>
      </c>
      <c r="N4" s="165" t="s">
        <v>70</v>
      </c>
      <c r="O4" s="176">
        <v>1</v>
      </c>
      <c r="P4" s="177">
        <v>1</v>
      </c>
      <c r="Q4" s="178">
        <v>1</v>
      </c>
      <c r="R4" s="179">
        <v>1</v>
      </c>
      <c r="S4" s="180" t="s">
        <v>60</v>
      </c>
      <c r="T4" s="183">
        <f>'Parameters | Agora'!B174</f>
        <v>3000</v>
      </c>
      <c r="U4" s="182" t="s">
        <v>3061</v>
      </c>
      <c r="V4" s="187">
        <f t="shared" si="0"/>
        <v>210.00000000000003</v>
      </c>
      <c r="W4" s="186" t="str">
        <f t="shared" si="1"/>
        <v>EUR</v>
      </c>
      <c r="X4" s="417">
        <v>1</v>
      </c>
      <c r="Y4" s="190" t="str">
        <f t="shared" si="2"/>
        <v>EUR impact/EUR</v>
      </c>
      <c r="Z4" s="175">
        <f t="shared" si="3"/>
        <v>210.00000000000003</v>
      </c>
      <c r="AA4" s="417">
        <f>INDEX('HUT 2023 | VI'!$G:$G,MATCH($D16,'HUT 2023 | VI'!$B:$B,0))</f>
        <v>2.354758421087829</v>
      </c>
      <c r="AB4" s="190" t="str">
        <f t="shared" si="4"/>
        <v>EUR impact/EUR</v>
      </c>
      <c r="AC4" s="175">
        <f t="shared" si="5"/>
        <v>494.49926842844417</v>
      </c>
      <c r="AD4" s="410"/>
      <c r="AE4" s="175">
        <f t="shared" si="6"/>
        <v>0</v>
      </c>
    </row>
    <row r="5" spans="1:31">
      <c r="A5" s="90" t="s">
        <v>3033</v>
      </c>
      <c r="B5" s="91">
        <v>2025</v>
      </c>
      <c r="C5" s="90" t="s">
        <v>612</v>
      </c>
      <c r="D5" s="90" t="s">
        <v>613</v>
      </c>
      <c r="E5" s="90" t="s">
        <v>1907</v>
      </c>
      <c r="F5" s="90" t="s">
        <v>3078</v>
      </c>
      <c r="G5" s="90" t="s">
        <v>3084</v>
      </c>
      <c r="H5" s="90" t="s">
        <v>3105</v>
      </c>
      <c r="I5" s="90" t="s">
        <v>6</v>
      </c>
      <c r="J5" s="92" t="s">
        <v>6</v>
      </c>
      <c r="K5" s="90" t="s">
        <v>3085</v>
      </c>
      <c r="L5" s="92" t="s">
        <v>69</v>
      </c>
      <c r="M5" s="164">
        <f>'Parameters | Agora'!B166</f>
        <v>7.0000000000000007E-2</v>
      </c>
      <c r="N5" s="165" t="s">
        <v>70</v>
      </c>
      <c r="O5" s="176">
        <v>1</v>
      </c>
      <c r="P5" s="177">
        <v>1</v>
      </c>
      <c r="Q5" s="178">
        <v>1</v>
      </c>
      <c r="R5" s="179">
        <v>1</v>
      </c>
      <c r="S5" s="180" t="s">
        <v>60</v>
      </c>
      <c r="T5" s="183">
        <f>'Parameters | Agora'!B175</f>
        <v>1000</v>
      </c>
      <c r="U5" s="182" t="s">
        <v>3061</v>
      </c>
      <c r="V5" s="187">
        <f t="shared" si="0"/>
        <v>70</v>
      </c>
      <c r="W5" s="186" t="str">
        <f t="shared" si="1"/>
        <v>EUR</v>
      </c>
      <c r="X5" s="417">
        <v>1</v>
      </c>
      <c r="Y5" s="190" t="str">
        <f t="shared" si="2"/>
        <v>EUR impact/EUR</v>
      </c>
      <c r="Z5" s="175">
        <f t="shared" si="3"/>
        <v>70</v>
      </c>
      <c r="AA5" s="417">
        <f>INDEX('HUT 2023 | VI'!$G:$G,MATCH($D17,'HUT 2023 | VI'!$B:$B,0))</f>
        <v>2.354758421087829</v>
      </c>
      <c r="AB5" s="190" t="str">
        <f t="shared" si="4"/>
        <v>EUR impact/EUR</v>
      </c>
      <c r="AC5" s="175">
        <f t="shared" si="5"/>
        <v>164.83308947614802</v>
      </c>
      <c r="AD5" s="410"/>
      <c r="AE5" s="175">
        <f t="shared" si="6"/>
        <v>0</v>
      </c>
    </row>
    <row r="6" spans="1:31">
      <c r="A6" s="90" t="s">
        <v>3033</v>
      </c>
      <c r="B6" s="91">
        <v>2025</v>
      </c>
      <c r="C6" s="90" t="s">
        <v>612</v>
      </c>
      <c r="D6" s="90" t="s">
        <v>613</v>
      </c>
      <c r="E6" s="90" t="s">
        <v>1907</v>
      </c>
      <c r="F6" s="90" t="s">
        <v>3078</v>
      </c>
      <c r="G6" s="90" t="s">
        <v>3086</v>
      </c>
      <c r="H6" s="90" t="s">
        <v>68</v>
      </c>
      <c r="I6" s="90" t="s">
        <v>6</v>
      </c>
      <c r="J6" s="92" t="s">
        <v>6</v>
      </c>
      <c r="K6" s="90" t="s">
        <v>3087</v>
      </c>
      <c r="L6" s="92" t="s">
        <v>69</v>
      </c>
      <c r="M6" s="164">
        <f>'Parameters | Agora'!B166</f>
        <v>7.0000000000000007E-2</v>
      </c>
      <c r="N6" s="165" t="s">
        <v>70</v>
      </c>
      <c r="O6" s="176">
        <v>1</v>
      </c>
      <c r="P6" s="177">
        <v>1</v>
      </c>
      <c r="Q6" s="178">
        <v>1</v>
      </c>
      <c r="R6" s="179">
        <v>1</v>
      </c>
      <c r="S6" s="180" t="s">
        <v>60</v>
      </c>
      <c r="T6" s="183">
        <f>'Parameters | Agora'!B176</f>
        <v>2000</v>
      </c>
      <c r="U6" s="182" t="s">
        <v>3061</v>
      </c>
      <c r="V6" s="187">
        <f t="shared" si="0"/>
        <v>140</v>
      </c>
      <c r="W6" s="186" t="str">
        <f t="shared" si="1"/>
        <v>EUR</v>
      </c>
      <c r="X6" s="417">
        <v>1</v>
      </c>
      <c r="Y6" s="190" t="str">
        <f t="shared" si="2"/>
        <v>EUR impact/EUR</v>
      </c>
      <c r="Z6" s="175">
        <f t="shared" si="3"/>
        <v>140</v>
      </c>
      <c r="AA6" s="417">
        <f>INDEX('HUT 2023 | VI'!$G:$G,MATCH($D18,'HUT 2023 | VI'!$B:$B,0))</f>
        <v>2.354758421087829</v>
      </c>
      <c r="AB6" s="190" t="str">
        <f t="shared" si="4"/>
        <v>EUR impact/EUR</v>
      </c>
      <c r="AC6" s="175">
        <f t="shared" si="5"/>
        <v>329.66617895229604</v>
      </c>
      <c r="AD6" s="410"/>
      <c r="AE6" s="175">
        <f t="shared" si="6"/>
        <v>0</v>
      </c>
    </row>
    <row r="7" spans="1:31">
      <c r="A7" s="90" t="s">
        <v>3033</v>
      </c>
      <c r="B7" s="91">
        <v>2025</v>
      </c>
      <c r="C7" s="90" t="s">
        <v>612</v>
      </c>
      <c r="D7" s="90" t="s">
        <v>613</v>
      </c>
      <c r="E7" s="90" t="s">
        <v>1907</v>
      </c>
      <c r="F7" s="90" t="s">
        <v>3078</v>
      </c>
      <c r="G7" s="90" t="s">
        <v>3088</v>
      </c>
      <c r="H7" s="90" t="s">
        <v>3105</v>
      </c>
      <c r="I7" s="90" t="s">
        <v>6</v>
      </c>
      <c r="J7" s="92" t="s">
        <v>6</v>
      </c>
      <c r="K7" s="90" t="s">
        <v>3089</v>
      </c>
      <c r="L7" s="92" t="s">
        <v>69</v>
      </c>
      <c r="M7" s="164">
        <f>'Parameters | Agora'!B166</f>
        <v>7.0000000000000007E-2</v>
      </c>
      <c r="N7" s="165" t="s">
        <v>70</v>
      </c>
      <c r="O7" s="176">
        <v>1</v>
      </c>
      <c r="P7" s="177">
        <v>1</v>
      </c>
      <c r="Q7" s="178">
        <v>1</v>
      </c>
      <c r="R7" s="179">
        <v>1</v>
      </c>
      <c r="S7" s="180" t="s">
        <v>60</v>
      </c>
      <c r="T7" s="183">
        <f>'Parameters | Agora'!B177</f>
        <v>154285.71428571426</v>
      </c>
      <c r="U7" s="182" t="s">
        <v>3061</v>
      </c>
      <c r="V7" s="187">
        <f t="shared" si="0"/>
        <v>10800</v>
      </c>
      <c r="W7" s="186" t="str">
        <f t="shared" si="1"/>
        <v>EUR</v>
      </c>
      <c r="X7" s="417">
        <v>1</v>
      </c>
      <c r="Y7" s="190" t="str">
        <f t="shared" si="2"/>
        <v>EUR impact/EUR</v>
      </c>
      <c r="Z7" s="175">
        <f t="shared" si="3"/>
        <v>10800</v>
      </c>
      <c r="AA7" s="417">
        <f>INDEX('HUT 2023 | VI'!$G:$G,MATCH($D19,'HUT 2023 | VI'!$B:$B,0))</f>
        <v>2.354758421087829</v>
      </c>
      <c r="AB7" s="190" t="str">
        <f t="shared" si="4"/>
        <v>EUR impact/EUR</v>
      </c>
      <c r="AC7" s="175">
        <f t="shared" si="5"/>
        <v>25431.390947748554</v>
      </c>
      <c r="AD7" s="410"/>
      <c r="AE7" s="175">
        <f t="shared" si="6"/>
        <v>0</v>
      </c>
    </row>
    <row r="8" spans="1:31">
      <c r="A8" s="90" t="s">
        <v>3033</v>
      </c>
      <c r="B8" s="91">
        <v>2025</v>
      </c>
      <c r="C8" s="90" t="s">
        <v>612</v>
      </c>
      <c r="D8" s="90" t="s">
        <v>613</v>
      </c>
      <c r="E8" s="90" t="s">
        <v>1907</v>
      </c>
      <c r="F8" s="90" t="s">
        <v>3078</v>
      </c>
      <c r="G8" s="90" t="s">
        <v>3090</v>
      </c>
      <c r="H8" s="90" t="s">
        <v>3105</v>
      </c>
      <c r="I8" s="90" t="s">
        <v>6</v>
      </c>
      <c r="J8" s="92" t="s">
        <v>6</v>
      </c>
      <c r="K8" s="90" t="s">
        <v>3091</v>
      </c>
      <c r="L8" s="92" t="s">
        <v>69</v>
      </c>
      <c r="M8" s="164">
        <f>'Parameters | Agora'!B166</f>
        <v>7.0000000000000007E-2</v>
      </c>
      <c r="N8" s="165" t="s">
        <v>70</v>
      </c>
      <c r="O8" s="176">
        <v>1</v>
      </c>
      <c r="P8" s="177">
        <v>1</v>
      </c>
      <c r="Q8" s="178">
        <v>1</v>
      </c>
      <c r="R8" s="179">
        <v>1</v>
      </c>
      <c r="S8" s="180" t="s">
        <v>60</v>
      </c>
      <c r="T8" s="183">
        <f>'Parameters | Agora'!B178</f>
        <v>8000</v>
      </c>
      <c r="U8" s="182" t="s">
        <v>3061</v>
      </c>
      <c r="V8" s="187">
        <f t="shared" si="0"/>
        <v>560</v>
      </c>
      <c r="W8" s="186" t="str">
        <f t="shared" si="1"/>
        <v>EUR</v>
      </c>
      <c r="X8" s="417">
        <v>1</v>
      </c>
      <c r="Y8" s="190" t="str">
        <f t="shared" si="2"/>
        <v>EUR impact/EUR</v>
      </c>
      <c r="Z8" s="175">
        <f t="shared" si="3"/>
        <v>560</v>
      </c>
      <c r="AA8" s="417">
        <f>INDEX('HUT 2023 | VI'!$G:$G,MATCH($D20,'HUT 2023 | VI'!$B:$B,0))</f>
        <v>2.354758421087829</v>
      </c>
      <c r="AB8" s="190" t="str">
        <f t="shared" si="4"/>
        <v>EUR impact/EUR</v>
      </c>
      <c r="AC8" s="175">
        <f t="shared" si="5"/>
        <v>1318.6647158091841</v>
      </c>
      <c r="AD8" s="410"/>
      <c r="AE8" s="175">
        <f t="shared" si="6"/>
        <v>0</v>
      </c>
    </row>
    <row r="9" spans="1:31">
      <c r="A9" s="90" t="s">
        <v>3033</v>
      </c>
      <c r="B9" s="91">
        <v>2025</v>
      </c>
      <c r="C9" s="90" t="s">
        <v>612</v>
      </c>
      <c r="D9" s="90" t="s">
        <v>613</v>
      </c>
      <c r="E9" s="90" t="s">
        <v>1907</v>
      </c>
      <c r="F9" s="90" t="s">
        <v>3041</v>
      </c>
      <c r="G9" s="90" t="s">
        <v>3075</v>
      </c>
      <c r="H9" s="90" t="s">
        <v>3105</v>
      </c>
      <c r="I9" s="90" t="s">
        <v>57</v>
      </c>
      <c r="J9" s="92" t="s">
        <v>11</v>
      </c>
      <c r="K9" s="90" t="s">
        <v>17</v>
      </c>
      <c r="L9" s="92" t="s">
        <v>58</v>
      </c>
      <c r="M9" s="164">
        <f>'Parameters | Agora'!B193</f>
        <v>20</v>
      </c>
      <c r="N9" s="165" t="s">
        <v>59</v>
      </c>
      <c r="O9" s="176">
        <v>1</v>
      </c>
      <c r="P9" s="177">
        <v>1</v>
      </c>
      <c r="Q9" s="178">
        <v>1</v>
      </c>
      <c r="R9" s="179">
        <v>1</v>
      </c>
      <c r="S9" s="180" t="s">
        <v>60</v>
      </c>
      <c r="T9" s="183">
        <f>'Parameters | Agora'!B194</f>
        <v>6.0999999999999999E-2</v>
      </c>
      <c r="U9" s="182" t="s">
        <v>61</v>
      </c>
      <c r="V9" s="187">
        <f t="shared" si="0"/>
        <v>1.22</v>
      </c>
      <c r="W9" s="186" t="str">
        <f t="shared" si="1"/>
        <v>DALY</v>
      </c>
      <c r="X9" s="417">
        <f>'Parameters | Agora'!$B$4/'Parameters | Agora'!$B$8</f>
        <v>55879.24</v>
      </c>
      <c r="Y9" s="190" t="str">
        <f t="shared" si="2"/>
        <v>EUR impact/DALY</v>
      </c>
      <c r="Z9" s="175">
        <f t="shared" si="3"/>
        <v>68172.6728</v>
      </c>
      <c r="AA9" s="417">
        <f>'Parameters | Agora'!$B$4/'Parameters | Agora'!$B$8</f>
        <v>55879.24</v>
      </c>
      <c r="AB9" s="190" t="str">
        <f t="shared" si="4"/>
        <v>EUR impact/DALY</v>
      </c>
      <c r="AC9" s="175">
        <f t="shared" si="5"/>
        <v>68172.6728</v>
      </c>
      <c r="AD9" s="410"/>
      <c r="AE9" s="175">
        <f t="shared" si="6"/>
        <v>0</v>
      </c>
    </row>
    <row r="10" spans="1:31">
      <c r="A10" s="90" t="s">
        <v>3033</v>
      </c>
      <c r="B10" s="91">
        <v>2025</v>
      </c>
      <c r="C10" s="90" t="s">
        <v>612</v>
      </c>
      <c r="D10" s="90" t="s">
        <v>613</v>
      </c>
      <c r="E10" s="90" t="s">
        <v>1907</v>
      </c>
      <c r="F10" s="90" t="s">
        <v>3041</v>
      </c>
      <c r="G10" s="90" t="s">
        <v>3076</v>
      </c>
      <c r="H10" s="90" t="s">
        <v>3105</v>
      </c>
      <c r="I10" s="90" t="s">
        <v>57</v>
      </c>
      <c r="J10" s="92" t="s">
        <v>11</v>
      </c>
      <c r="K10" s="90" t="s">
        <v>17</v>
      </c>
      <c r="L10" s="92" t="s">
        <v>58</v>
      </c>
      <c r="M10" s="164">
        <f>'Parameters | Agora'!B195</f>
        <v>40</v>
      </c>
      <c r="N10" s="165" t="s">
        <v>59</v>
      </c>
      <c r="O10" s="176">
        <v>1</v>
      </c>
      <c r="P10" s="177">
        <v>1</v>
      </c>
      <c r="Q10" s="178">
        <v>1</v>
      </c>
      <c r="R10" s="179">
        <v>1</v>
      </c>
      <c r="S10" s="180" t="s">
        <v>60</v>
      </c>
      <c r="T10" s="183">
        <f>'Parameters | Agora'!B196</f>
        <v>0.02</v>
      </c>
      <c r="U10" s="182" t="s">
        <v>61</v>
      </c>
      <c r="V10" s="187">
        <f t="shared" si="0"/>
        <v>0.8</v>
      </c>
      <c r="W10" s="186" t="str">
        <f t="shared" si="1"/>
        <v>DALY</v>
      </c>
      <c r="X10" s="417">
        <f>'Parameters | Agora'!$B$4/'Parameters | Agora'!$B$8</f>
        <v>55879.24</v>
      </c>
      <c r="Y10" s="190" t="str">
        <f t="shared" si="2"/>
        <v>EUR impact/DALY</v>
      </c>
      <c r="Z10" s="175">
        <f t="shared" si="3"/>
        <v>44703.392</v>
      </c>
      <c r="AA10" s="417">
        <f>'Parameters | Agora'!$B$4/'Parameters | Agora'!$B$8</f>
        <v>55879.24</v>
      </c>
      <c r="AB10" s="190" t="str">
        <f t="shared" si="4"/>
        <v>EUR impact/DALY</v>
      </c>
      <c r="AC10" s="175">
        <f t="shared" si="5"/>
        <v>44703.392</v>
      </c>
      <c r="AD10" s="410"/>
      <c r="AE10" s="175">
        <f t="shared" si="6"/>
        <v>0</v>
      </c>
    </row>
    <row r="11" spans="1:31">
      <c r="A11" s="90" t="s">
        <v>3033</v>
      </c>
      <c r="B11" s="91">
        <v>2025</v>
      </c>
      <c r="C11" s="90" t="s">
        <v>612</v>
      </c>
      <c r="D11" s="90" t="s">
        <v>613</v>
      </c>
      <c r="E11" s="90" t="s">
        <v>1907</v>
      </c>
      <c r="F11" s="90" t="s">
        <v>3041</v>
      </c>
      <c r="G11" s="90" t="s">
        <v>3077</v>
      </c>
      <c r="H11" s="90" t="s">
        <v>3105</v>
      </c>
      <c r="I11" s="90" t="s">
        <v>57</v>
      </c>
      <c r="J11" s="92" t="s">
        <v>11</v>
      </c>
      <c r="K11" s="90" t="s">
        <v>3034</v>
      </c>
      <c r="L11" s="92" t="s">
        <v>65</v>
      </c>
      <c r="M11" s="164">
        <f>'Parameters | Agora'!B211</f>
        <v>18909.599999999999</v>
      </c>
      <c r="N11" s="165" t="s">
        <v>3042</v>
      </c>
      <c r="O11" s="176">
        <v>1</v>
      </c>
      <c r="P11" s="177">
        <v>1</v>
      </c>
      <c r="Q11" s="178">
        <f>'Parameters | Agora'!B212</f>
        <v>0.4</v>
      </c>
      <c r="R11" s="179">
        <v>1</v>
      </c>
      <c r="S11" s="180" t="s">
        <v>60</v>
      </c>
      <c r="T11" s="183">
        <f>'Parameters | Agora'!B210</f>
        <v>5</v>
      </c>
      <c r="U11" s="182" t="s">
        <v>3062</v>
      </c>
      <c r="V11" s="187">
        <f t="shared" si="0"/>
        <v>37819.199999999997</v>
      </c>
      <c r="W11" s="186" t="str">
        <f t="shared" si="1"/>
        <v>EUR</v>
      </c>
      <c r="X11" s="417">
        <v>1</v>
      </c>
      <c r="Y11" s="190" t="str">
        <f t="shared" si="2"/>
        <v>EUR impact/EUR</v>
      </c>
      <c r="Z11" s="175">
        <f t="shared" si="3"/>
        <v>37819.199999999997</v>
      </c>
      <c r="AA11" s="417">
        <f>INDEX('HUI 2023 | VI'!$H:$H,MATCH("ALB",'HUI 2023 | VI'!$B:$B,0))</f>
        <v>0.56911995207157595</v>
      </c>
      <c r="AB11" s="190" t="str">
        <f t="shared" si="4"/>
        <v>EUR impact/EUR</v>
      </c>
      <c r="AC11" s="175">
        <f t="shared" si="5"/>
        <v>21523.661291385342</v>
      </c>
      <c r="AD11" s="410"/>
      <c r="AE11" s="175">
        <f t="shared" si="6"/>
        <v>0</v>
      </c>
    </row>
    <row r="12" spans="1:31">
      <c r="A12" s="90" t="s">
        <v>3033</v>
      </c>
      <c r="B12" s="91">
        <v>2025</v>
      </c>
      <c r="C12" s="90" t="s">
        <v>612</v>
      </c>
      <c r="D12" s="90" t="s">
        <v>613</v>
      </c>
      <c r="E12" s="90" t="s">
        <v>1907</v>
      </c>
      <c r="F12" s="90" t="s">
        <v>3072</v>
      </c>
      <c r="G12" s="90" t="s">
        <v>2667</v>
      </c>
      <c r="H12" s="90" t="s">
        <v>3105</v>
      </c>
      <c r="I12" s="90" t="s">
        <v>62</v>
      </c>
      <c r="J12" s="92" t="s">
        <v>8</v>
      </c>
      <c r="K12" s="90" t="s">
        <v>3043</v>
      </c>
      <c r="L12" s="92" t="s">
        <v>58</v>
      </c>
      <c r="M12" s="164">
        <f>'Parameters | Agora'!B232</f>
        <v>6000</v>
      </c>
      <c r="N12" s="165" t="s">
        <v>2493</v>
      </c>
      <c r="O12" s="176">
        <v>1</v>
      </c>
      <c r="P12" s="177">
        <v>1</v>
      </c>
      <c r="Q12" s="178">
        <v>1</v>
      </c>
      <c r="R12" s="179">
        <v>1</v>
      </c>
      <c r="S12" s="180" t="s">
        <v>60</v>
      </c>
      <c r="T12" s="183">
        <f>'Parameters | Agora'!B227</f>
        <v>8</v>
      </c>
      <c r="U12" s="182" t="s">
        <v>3063</v>
      </c>
      <c r="V12" s="187">
        <f t="shared" si="0"/>
        <v>48000</v>
      </c>
      <c r="W12" s="186" t="str">
        <f t="shared" si="1"/>
        <v>EUR</v>
      </c>
      <c r="X12" s="417">
        <v>1</v>
      </c>
      <c r="Y12" s="190" t="str">
        <f t="shared" si="2"/>
        <v>EUR impact/EUR</v>
      </c>
      <c r="Z12" s="175">
        <f t="shared" si="3"/>
        <v>48000</v>
      </c>
      <c r="AA12" s="417">
        <f>INDEX('HUI 2023 | VI'!$H:$H,MATCH("ALB",'HUI 2023 | VI'!$B:$B,0))</f>
        <v>0.56911995207157595</v>
      </c>
      <c r="AB12" s="190" t="str">
        <f t="shared" si="4"/>
        <v>EUR impact/EUR</v>
      </c>
      <c r="AC12" s="175">
        <f t="shared" si="5"/>
        <v>27317.757699435646</v>
      </c>
      <c r="AD12" s="410"/>
      <c r="AE12" s="175">
        <f t="shared" si="6"/>
        <v>0</v>
      </c>
    </row>
    <row r="13" spans="1:31">
      <c r="A13" s="90" t="s">
        <v>3033</v>
      </c>
      <c r="B13" s="91">
        <v>2025</v>
      </c>
      <c r="C13" s="90" t="s">
        <v>612</v>
      </c>
      <c r="D13" s="90" t="s">
        <v>613</v>
      </c>
      <c r="E13" s="90" t="s">
        <v>1907</v>
      </c>
      <c r="F13" s="90" t="s">
        <v>3072</v>
      </c>
      <c r="G13" s="90" t="s">
        <v>3035</v>
      </c>
      <c r="H13" s="90" t="s">
        <v>3105</v>
      </c>
      <c r="I13" s="90" t="s">
        <v>57</v>
      </c>
      <c r="J13" s="92" t="s">
        <v>9</v>
      </c>
      <c r="K13" s="90" t="s">
        <v>17</v>
      </c>
      <c r="L13" s="92" t="s">
        <v>58</v>
      </c>
      <c r="M13" s="164">
        <f>'Parameters | Agora'!B232</f>
        <v>6000</v>
      </c>
      <c r="N13" s="165" t="s">
        <v>2493</v>
      </c>
      <c r="O13" s="176">
        <f>'Parameters | Agora'!B230</f>
        <v>0.6</v>
      </c>
      <c r="P13" s="177">
        <v>1</v>
      </c>
      <c r="Q13" s="178">
        <v>1</v>
      </c>
      <c r="R13" s="179">
        <f>'Parameters | Agora'!B231</f>
        <v>2.7397260273972603E-3</v>
      </c>
      <c r="S13" s="180" t="s">
        <v>60</v>
      </c>
      <c r="T13" s="183">
        <f>'Parameters | Agora'!B229</f>
        <v>5.0999999999999997E-2</v>
      </c>
      <c r="U13" s="182" t="s">
        <v>3044</v>
      </c>
      <c r="V13" s="187">
        <f t="shared" si="0"/>
        <v>0.50301369863013701</v>
      </c>
      <c r="W13" s="186" t="str">
        <f t="shared" si="1"/>
        <v>DALY</v>
      </c>
      <c r="X13" s="417">
        <f>'Parameters | Agora'!$B$4/'Parameters | Agora'!$B$8</f>
        <v>55879.24</v>
      </c>
      <c r="Y13" s="190" t="str">
        <f t="shared" si="2"/>
        <v>EUR impact/DALY</v>
      </c>
      <c r="Z13" s="175">
        <f t="shared" si="3"/>
        <v>28108.023189041098</v>
      </c>
      <c r="AA13" s="417">
        <f>'Parameters | Agora'!$B$4/'Parameters | Agora'!$B$8</f>
        <v>55879.24</v>
      </c>
      <c r="AB13" s="190" t="str">
        <f t="shared" si="4"/>
        <v>EUR impact/DALY</v>
      </c>
      <c r="AC13" s="175">
        <f t="shared" si="5"/>
        <v>28108.023189041098</v>
      </c>
      <c r="AD13" s="410"/>
      <c r="AE13" s="175">
        <f t="shared" si="6"/>
        <v>0</v>
      </c>
    </row>
    <row r="14" spans="1:31">
      <c r="A14" s="90" t="s">
        <v>3033</v>
      </c>
      <c r="B14" s="91">
        <v>2025</v>
      </c>
      <c r="C14" s="90" t="s">
        <v>612</v>
      </c>
      <c r="D14" s="90" t="s">
        <v>613</v>
      </c>
      <c r="E14" s="90" t="s">
        <v>1907</v>
      </c>
      <c r="F14" s="90" t="s">
        <v>3072</v>
      </c>
      <c r="G14" s="90" t="s">
        <v>3092</v>
      </c>
      <c r="H14" s="90" t="s">
        <v>3106</v>
      </c>
      <c r="I14" s="90" t="s">
        <v>67</v>
      </c>
      <c r="J14" s="92" t="s">
        <v>5</v>
      </c>
      <c r="K14" s="90" t="s">
        <v>10</v>
      </c>
      <c r="L14" s="92" t="s">
        <v>65</v>
      </c>
      <c r="M14" s="164">
        <f>'Parameters | Agora'!B237</f>
        <v>75</v>
      </c>
      <c r="N14" s="165" t="s">
        <v>59</v>
      </c>
      <c r="O14" s="176">
        <v>1</v>
      </c>
      <c r="P14" s="177">
        <v>1</v>
      </c>
      <c r="Q14" s="178">
        <v>1</v>
      </c>
      <c r="R14" s="179">
        <v>1</v>
      </c>
      <c r="S14" s="180" t="s">
        <v>60</v>
      </c>
      <c r="T14" s="183">
        <f>'Parameters | Agora'!B238</f>
        <v>700</v>
      </c>
      <c r="U14" s="182" t="s">
        <v>3064</v>
      </c>
      <c r="V14" s="187">
        <f t="shared" si="0"/>
        <v>52500</v>
      </c>
      <c r="W14" s="186" t="str">
        <f t="shared" si="1"/>
        <v>EUR</v>
      </c>
      <c r="X14" s="417">
        <v>1</v>
      </c>
      <c r="Y14" s="190" t="str">
        <f t="shared" si="2"/>
        <v>EUR impact/EUR</v>
      </c>
      <c r="Z14" s="175">
        <f t="shared" si="3"/>
        <v>52500</v>
      </c>
      <c r="AA14" s="417">
        <f>INDEX('HUT 2023 | VI'!$G:$G,MATCH($D14,'HUT 2023 | VI'!$B:$B,0))</f>
        <v>2.354758421087829</v>
      </c>
      <c r="AB14" s="190" t="str">
        <f t="shared" si="4"/>
        <v>EUR impact/EUR</v>
      </c>
      <c r="AC14" s="175">
        <f t="shared" si="5"/>
        <v>123624.81710711103</v>
      </c>
      <c r="AD14" s="410"/>
      <c r="AE14" s="175">
        <f t="shared" si="6"/>
        <v>0</v>
      </c>
    </row>
    <row r="15" spans="1:31">
      <c r="A15" s="90" t="s">
        <v>3033</v>
      </c>
      <c r="B15" s="91">
        <v>2025</v>
      </c>
      <c r="C15" s="90" t="s">
        <v>612</v>
      </c>
      <c r="D15" s="90" t="s">
        <v>613</v>
      </c>
      <c r="E15" s="90" t="s">
        <v>1907</v>
      </c>
      <c r="F15" s="90" t="s">
        <v>3045</v>
      </c>
      <c r="G15" s="90" t="s">
        <v>3093</v>
      </c>
      <c r="H15" s="90" t="s">
        <v>3105</v>
      </c>
      <c r="I15" s="90" t="s">
        <v>62</v>
      </c>
      <c r="J15" s="92" t="s">
        <v>8</v>
      </c>
      <c r="K15" s="90" t="s">
        <v>15</v>
      </c>
      <c r="L15" s="92" t="s">
        <v>58</v>
      </c>
      <c r="M15" s="164">
        <f>'Parameters | Agora'!B223</f>
        <v>10000</v>
      </c>
      <c r="N15" s="165" t="s">
        <v>2493</v>
      </c>
      <c r="O15" s="176">
        <v>1</v>
      </c>
      <c r="P15" s="177">
        <v>1</v>
      </c>
      <c r="Q15" s="178">
        <v>1</v>
      </c>
      <c r="R15" s="179">
        <v>1</v>
      </c>
      <c r="S15" s="180" t="s">
        <v>60</v>
      </c>
      <c r="T15" s="183">
        <f>'Parameters | Agora'!B244</f>
        <v>3</v>
      </c>
      <c r="U15" s="182" t="s">
        <v>3063</v>
      </c>
      <c r="V15" s="187">
        <f t="shared" si="0"/>
        <v>30000</v>
      </c>
      <c r="W15" s="186" t="str">
        <f t="shared" si="1"/>
        <v>EUR</v>
      </c>
      <c r="X15" s="417">
        <v>1</v>
      </c>
      <c r="Y15" s="190" t="str">
        <f t="shared" si="2"/>
        <v>EUR impact/EUR</v>
      </c>
      <c r="Z15" s="175">
        <f t="shared" si="3"/>
        <v>30000</v>
      </c>
      <c r="AA15" s="417">
        <f>INDEX('HUI 2023 | VI'!$H:$H,MATCH("ALB",'HUI 2023 | VI'!$B:$B,0))</f>
        <v>0.56911995207157595</v>
      </c>
      <c r="AB15" s="190" t="str">
        <f t="shared" si="4"/>
        <v>EUR impact/EUR</v>
      </c>
      <c r="AC15" s="175">
        <f t="shared" si="5"/>
        <v>17073.598562147279</v>
      </c>
      <c r="AD15" s="410"/>
      <c r="AE15" s="175">
        <f t="shared" si="6"/>
        <v>0</v>
      </c>
    </row>
    <row r="16" spans="1:31">
      <c r="A16" s="90" t="s">
        <v>3033</v>
      </c>
      <c r="B16" s="91">
        <v>2025</v>
      </c>
      <c r="C16" s="90" t="s">
        <v>612</v>
      </c>
      <c r="D16" s="90" t="s">
        <v>613</v>
      </c>
      <c r="E16" s="90" t="s">
        <v>1907</v>
      </c>
      <c r="F16" s="90" t="s">
        <v>3046</v>
      </c>
      <c r="G16" s="90" t="s">
        <v>3073</v>
      </c>
      <c r="H16" s="90" t="s">
        <v>3105</v>
      </c>
      <c r="I16" s="90" t="s">
        <v>57</v>
      </c>
      <c r="J16" s="92" t="s">
        <v>11</v>
      </c>
      <c r="K16" s="90" t="s">
        <v>17</v>
      </c>
      <c r="L16" s="92" t="s">
        <v>58</v>
      </c>
      <c r="M16" s="164">
        <f>'Parameters | Agora'!B260</f>
        <v>70</v>
      </c>
      <c r="N16" s="165" t="s">
        <v>59</v>
      </c>
      <c r="O16" s="176">
        <v>1</v>
      </c>
      <c r="P16" s="177">
        <v>1</v>
      </c>
      <c r="Q16" s="178">
        <v>1</v>
      </c>
      <c r="R16" s="179">
        <f>'Parameters | Agora'!B261/365</f>
        <v>6.8493150684931503E-2</v>
      </c>
      <c r="S16" s="180" t="s">
        <v>60</v>
      </c>
      <c r="T16" s="183">
        <f>'Parameters | Agora'!B264</f>
        <v>0.14499999999999999</v>
      </c>
      <c r="U16" s="182" t="s">
        <v>61</v>
      </c>
      <c r="V16" s="187">
        <f t="shared" si="0"/>
        <v>0.69520547945205469</v>
      </c>
      <c r="W16" s="186" t="str">
        <f t="shared" si="1"/>
        <v>DALY</v>
      </c>
      <c r="X16" s="417">
        <f>'Parameters | Agora'!$B$4/'Parameters | Agora'!$B$8</f>
        <v>55879.24</v>
      </c>
      <c r="Y16" s="190" t="str">
        <f t="shared" si="2"/>
        <v>EUR impact/DALY</v>
      </c>
      <c r="Z16" s="175">
        <f t="shared" si="3"/>
        <v>38847.553835616432</v>
      </c>
      <c r="AA16" s="417">
        <f>'Parameters | Agora'!$B$4/'Parameters | Agora'!$B$8</f>
        <v>55879.24</v>
      </c>
      <c r="AB16" s="190" t="str">
        <f t="shared" si="4"/>
        <v>EUR impact/DALY</v>
      </c>
      <c r="AC16" s="175">
        <f t="shared" si="5"/>
        <v>38847.553835616432</v>
      </c>
      <c r="AD16" s="410"/>
      <c r="AE16" s="175">
        <f t="shared" si="6"/>
        <v>0</v>
      </c>
    </row>
    <row r="17" spans="1:31">
      <c r="A17" s="90" t="s">
        <v>3033</v>
      </c>
      <c r="B17" s="91">
        <v>2025</v>
      </c>
      <c r="C17" s="90" t="s">
        <v>612</v>
      </c>
      <c r="D17" s="90" t="s">
        <v>613</v>
      </c>
      <c r="E17" s="90" t="s">
        <v>1907</v>
      </c>
      <c r="F17" s="90" t="s">
        <v>3046</v>
      </c>
      <c r="G17" s="90" t="s">
        <v>3074</v>
      </c>
      <c r="H17" s="90" t="s">
        <v>3105</v>
      </c>
      <c r="I17" s="90" t="s">
        <v>57</v>
      </c>
      <c r="J17" s="92" t="s">
        <v>11</v>
      </c>
      <c r="K17" s="90" t="s">
        <v>17</v>
      </c>
      <c r="L17" s="92" t="s">
        <v>58</v>
      </c>
      <c r="M17" s="164">
        <f>'Parameters | Agora'!B262</f>
        <v>450</v>
      </c>
      <c r="N17" s="165" t="s">
        <v>59</v>
      </c>
      <c r="O17" s="176">
        <v>1</v>
      </c>
      <c r="P17" s="177">
        <v>1</v>
      </c>
      <c r="Q17" s="178">
        <v>1</v>
      </c>
      <c r="R17" s="179">
        <f>'Parameters | Agora'!B263/365</f>
        <v>5.4794520547945206E-3</v>
      </c>
      <c r="S17" s="180" t="s">
        <v>60</v>
      </c>
      <c r="T17" s="183">
        <f>'Parameters | Agora'!B264</f>
        <v>0.14499999999999999</v>
      </c>
      <c r="U17" s="182" t="s">
        <v>61</v>
      </c>
      <c r="V17" s="187">
        <f t="shared" si="0"/>
        <v>0.35753424657534244</v>
      </c>
      <c r="W17" s="186" t="str">
        <f t="shared" si="1"/>
        <v>DALY</v>
      </c>
      <c r="X17" s="417">
        <f>'Parameters | Agora'!$B$4/'Parameters | Agora'!$B$8</f>
        <v>55879.24</v>
      </c>
      <c r="Y17" s="190" t="str">
        <f t="shared" si="2"/>
        <v>EUR impact/DALY</v>
      </c>
      <c r="Z17" s="175">
        <f t="shared" si="3"/>
        <v>19978.741972602736</v>
      </c>
      <c r="AA17" s="417">
        <f>'Parameters | Agora'!$B$4/'Parameters | Agora'!$B$8</f>
        <v>55879.24</v>
      </c>
      <c r="AB17" s="190" t="str">
        <f t="shared" si="4"/>
        <v>EUR impact/DALY</v>
      </c>
      <c r="AC17" s="175">
        <f t="shared" si="5"/>
        <v>19978.741972602736</v>
      </c>
      <c r="AD17" s="410"/>
      <c r="AE17" s="175">
        <f t="shared" si="6"/>
        <v>0</v>
      </c>
    </row>
    <row r="18" spans="1:31">
      <c r="A18" s="90" t="s">
        <v>3033</v>
      </c>
      <c r="B18" s="91">
        <v>2025</v>
      </c>
      <c r="C18" s="90" t="s">
        <v>612</v>
      </c>
      <c r="D18" s="90" t="s">
        <v>613</v>
      </c>
      <c r="E18" s="90" t="s">
        <v>1907</v>
      </c>
      <c r="F18" s="90" t="s">
        <v>3047</v>
      </c>
      <c r="G18" s="90" t="s">
        <v>2729</v>
      </c>
      <c r="H18" s="90" t="s">
        <v>3105</v>
      </c>
      <c r="I18" s="90" t="s">
        <v>62</v>
      </c>
      <c r="J18" s="92" t="s">
        <v>8</v>
      </c>
      <c r="K18" s="90" t="s">
        <v>10</v>
      </c>
      <c r="L18" s="92" t="s">
        <v>65</v>
      </c>
      <c r="M18" s="164">
        <f>'Parameters | Agora'!B250*'Parameters | Agora'!B251*'Parameters | Agora'!B252</f>
        <v>3280</v>
      </c>
      <c r="N18" s="165" t="s">
        <v>3048</v>
      </c>
      <c r="O18" s="176">
        <v>1</v>
      </c>
      <c r="P18" s="177">
        <v>1</v>
      </c>
      <c r="Q18" s="178">
        <v>1</v>
      </c>
      <c r="R18" s="179">
        <v>1</v>
      </c>
      <c r="S18" s="180" t="s">
        <v>60</v>
      </c>
      <c r="T18" s="183">
        <f>'Parameters | Agora'!B253</f>
        <v>10</v>
      </c>
      <c r="U18" s="182" t="s">
        <v>3065</v>
      </c>
      <c r="V18" s="187">
        <f t="shared" si="0"/>
        <v>32800</v>
      </c>
      <c r="W18" s="186" t="str">
        <f t="shared" si="1"/>
        <v>EUR</v>
      </c>
      <c r="X18" s="417">
        <v>1</v>
      </c>
      <c r="Y18" s="190" t="str">
        <f t="shared" si="2"/>
        <v>EUR impact/EUR</v>
      </c>
      <c r="Z18" s="175">
        <f t="shared" si="3"/>
        <v>32800</v>
      </c>
      <c r="AA18" s="417">
        <f>INDEX('HUI 2023 | VI'!$H:$H,MATCH("ALB",'HUI 2023 | VI'!$B:$B,0))</f>
        <v>0.56911995207157595</v>
      </c>
      <c r="AB18" s="190" t="str">
        <f t="shared" si="4"/>
        <v>EUR impact/EUR</v>
      </c>
      <c r="AC18" s="175">
        <f t="shared" si="5"/>
        <v>18667.134427947691</v>
      </c>
      <c r="AD18" s="410"/>
      <c r="AE18" s="175">
        <f t="shared" si="6"/>
        <v>0</v>
      </c>
    </row>
    <row r="19" spans="1:31">
      <c r="A19" s="90" t="s">
        <v>3033</v>
      </c>
      <c r="B19" s="91">
        <v>2025</v>
      </c>
      <c r="C19" s="90" t="s">
        <v>612</v>
      </c>
      <c r="D19" s="90" t="s">
        <v>613</v>
      </c>
      <c r="E19" s="90" t="s">
        <v>1907</v>
      </c>
      <c r="F19" s="90" t="s">
        <v>3049</v>
      </c>
      <c r="G19" s="90" t="s">
        <v>3094</v>
      </c>
      <c r="H19" s="90" t="s">
        <v>3105</v>
      </c>
      <c r="I19" s="90" t="s">
        <v>57</v>
      </c>
      <c r="J19" s="92" t="s">
        <v>11</v>
      </c>
      <c r="K19" s="90" t="s">
        <v>3036</v>
      </c>
      <c r="L19" s="92" t="s">
        <v>65</v>
      </c>
      <c r="M19" s="164">
        <f>'Parameters | Agora'!B278</f>
        <v>3000</v>
      </c>
      <c r="N19" s="165" t="s">
        <v>2588</v>
      </c>
      <c r="O19" s="176">
        <v>1</v>
      </c>
      <c r="P19" s="177">
        <v>1</v>
      </c>
      <c r="Q19" s="178">
        <v>1</v>
      </c>
      <c r="R19" s="179">
        <v>1</v>
      </c>
      <c r="S19" s="180" t="s">
        <v>60</v>
      </c>
      <c r="T19" s="183">
        <f>'Parameters | Agora'!B277</f>
        <v>12</v>
      </c>
      <c r="U19" s="182" t="s">
        <v>3066</v>
      </c>
      <c r="V19" s="187">
        <f t="shared" si="0"/>
        <v>36000</v>
      </c>
      <c r="W19" s="186" t="str">
        <f t="shared" si="1"/>
        <v>EUR</v>
      </c>
      <c r="X19" s="417">
        <v>1</v>
      </c>
      <c r="Y19" s="190" t="str">
        <f t="shared" si="2"/>
        <v>EUR impact/EUR</v>
      </c>
      <c r="Z19" s="175">
        <f t="shared" si="3"/>
        <v>36000</v>
      </c>
      <c r="AA19" s="417">
        <f>INDEX('HUI 2023 | VI'!$H:$H,MATCH("ALB",'HUI 2023 | VI'!$B:$B,0))</f>
        <v>0.56911995207157595</v>
      </c>
      <c r="AB19" s="190" t="str">
        <f t="shared" si="4"/>
        <v>EUR impact/EUR</v>
      </c>
      <c r="AC19" s="175">
        <f t="shared" si="5"/>
        <v>20488.318274576734</v>
      </c>
      <c r="AD19" s="410"/>
      <c r="AE19" s="175">
        <f t="shared" si="6"/>
        <v>0</v>
      </c>
    </row>
    <row r="20" spans="1:31">
      <c r="A20" s="90" t="s">
        <v>3033</v>
      </c>
      <c r="B20" s="91">
        <v>2025</v>
      </c>
      <c r="C20" s="90" t="s">
        <v>612</v>
      </c>
      <c r="D20" s="90" t="s">
        <v>613</v>
      </c>
      <c r="E20" s="90" t="s">
        <v>1907</v>
      </c>
      <c r="F20" s="90" t="s">
        <v>3041</v>
      </c>
      <c r="G20" s="90" t="s">
        <v>2673</v>
      </c>
      <c r="H20" s="90" t="s">
        <v>3105</v>
      </c>
      <c r="I20" s="90" t="s">
        <v>67</v>
      </c>
      <c r="J20" s="92" t="s">
        <v>5</v>
      </c>
      <c r="K20" s="90" t="s">
        <v>10</v>
      </c>
      <c r="L20" s="92" t="s">
        <v>65</v>
      </c>
      <c r="M20" s="164">
        <f>'Parameters | Agora'!B273*'Parameters | Agora'!B285</f>
        <v>240</v>
      </c>
      <c r="N20" s="165" t="s">
        <v>2725</v>
      </c>
      <c r="O20" s="176">
        <v>1</v>
      </c>
      <c r="P20" s="177">
        <v>1</v>
      </c>
      <c r="Q20" s="178">
        <v>1</v>
      </c>
      <c r="R20" s="179">
        <v>1</v>
      </c>
      <c r="S20" s="180" t="s">
        <v>60</v>
      </c>
      <c r="T20" s="183">
        <f>'Parameters | Agora'!B284</f>
        <v>200</v>
      </c>
      <c r="U20" s="182" t="s">
        <v>3067</v>
      </c>
      <c r="V20" s="187">
        <f t="shared" si="0"/>
        <v>48000</v>
      </c>
      <c r="W20" s="186" t="str">
        <f t="shared" si="1"/>
        <v>EUR</v>
      </c>
      <c r="X20" s="417">
        <v>1</v>
      </c>
      <c r="Y20" s="190" t="str">
        <f t="shared" si="2"/>
        <v>EUR impact/EUR</v>
      </c>
      <c r="Z20" s="175">
        <f t="shared" si="3"/>
        <v>48000</v>
      </c>
      <c r="AA20" s="417">
        <f>INDEX('HUT 2023 | VI'!$G:$G,MATCH($D20,'HUT 2023 | VI'!$B:$B,0))</f>
        <v>2.354758421087829</v>
      </c>
      <c r="AB20" s="190" t="str">
        <f t="shared" si="4"/>
        <v>EUR impact/EUR</v>
      </c>
      <c r="AC20" s="175">
        <f t="shared" si="5"/>
        <v>113028.40421221578</v>
      </c>
      <c r="AD20" s="410"/>
      <c r="AE20" s="175">
        <f t="shared" si="6"/>
        <v>0</v>
      </c>
    </row>
    <row r="21" spans="1:31">
      <c r="A21" s="90" t="s">
        <v>3033</v>
      </c>
      <c r="B21" s="91">
        <v>2025</v>
      </c>
      <c r="C21" s="90" t="s">
        <v>612</v>
      </c>
      <c r="D21" s="90" t="s">
        <v>613</v>
      </c>
      <c r="E21" s="90" t="s">
        <v>1907</v>
      </c>
      <c r="F21" s="90" t="s">
        <v>3050</v>
      </c>
      <c r="G21" s="90" t="s">
        <v>3051</v>
      </c>
      <c r="H21" s="90" t="s">
        <v>3105</v>
      </c>
      <c r="I21" s="90" t="s">
        <v>62</v>
      </c>
      <c r="J21" s="92" t="s">
        <v>8</v>
      </c>
      <c r="K21" s="90" t="s">
        <v>3043</v>
      </c>
      <c r="L21" s="92" t="s">
        <v>58</v>
      </c>
      <c r="M21" s="164">
        <f>'Parameters | Agora'!B292</f>
        <v>20</v>
      </c>
      <c r="N21" s="165" t="s">
        <v>59</v>
      </c>
      <c r="O21" s="176">
        <v>1</v>
      </c>
      <c r="P21" s="177">
        <v>1</v>
      </c>
      <c r="Q21" s="178">
        <v>1</v>
      </c>
      <c r="R21" s="179">
        <v>1</v>
      </c>
      <c r="S21" s="180" t="s">
        <v>60</v>
      </c>
      <c r="T21" s="183">
        <f>'Parameters | Agora'!B299</f>
        <v>500</v>
      </c>
      <c r="U21" s="182" t="s">
        <v>3064</v>
      </c>
      <c r="V21" s="187">
        <f t="shared" si="0"/>
        <v>10000</v>
      </c>
      <c r="W21" s="186" t="str">
        <f t="shared" si="1"/>
        <v>EUR</v>
      </c>
      <c r="X21" s="417">
        <v>1</v>
      </c>
      <c r="Y21" s="190" t="str">
        <f t="shared" si="2"/>
        <v>EUR impact/EUR</v>
      </c>
      <c r="Z21" s="175">
        <f t="shared" si="3"/>
        <v>10000</v>
      </c>
      <c r="AA21" s="417">
        <f>INDEX('HUI 2023 | VI'!$H:$H,MATCH("ALB",'HUI 2023 | VI'!$B:$B,0))</f>
        <v>0.56911995207157595</v>
      </c>
      <c r="AB21" s="190" t="str">
        <f t="shared" si="4"/>
        <v>EUR impact/EUR</v>
      </c>
      <c r="AC21" s="175">
        <f t="shared" si="5"/>
        <v>5691.1995207157597</v>
      </c>
      <c r="AD21" s="410"/>
      <c r="AE21" s="175">
        <f t="shared" si="6"/>
        <v>0</v>
      </c>
    </row>
    <row r="22" spans="1:31">
      <c r="A22" s="90" t="s">
        <v>3033</v>
      </c>
      <c r="B22" s="91">
        <v>2025</v>
      </c>
      <c r="C22" s="90" t="s">
        <v>612</v>
      </c>
      <c r="D22" s="90" t="s">
        <v>613</v>
      </c>
      <c r="E22" s="90" t="s">
        <v>1907</v>
      </c>
      <c r="F22" s="90" t="s">
        <v>3050</v>
      </c>
      <c r="G22" s="90" t="s">
        <v>3052</v>
      </c>
      <c r="H22" s="90" t="s">
        <v>3105</v>
      </c>
      <c r="I22" s="90" t="s">
        <v>57</v>
      </c>
      <c r="J22" s="92" t="s">
        <v>9</v>
      </c>
      <c r="K22" s="90" t="s">
        <v>17</v>
      </c>
      <c r="L22" s="92" t="s">
        <v>58</v>
      </c>
      <c r="M22" s="164">
        <f>'Parameters | Agora'!B292</f>
        <v>20</v>
      </c>
      <c r="N22" s="165" t="s">
        <v>59</v>
      </c>
      <c r="O22" s="176">
        <f>'Parameters | Agora'!B304</f>
        <v>0.8</v>
      </c>
      <c r="P22" s="177">
        <f>'Parameters | Agora'!B305</f>
        <v>0.6</v>
      </c>
      <c r="Q22" s="178">
        <v>1</v>
      </c>
      <c r="R22" s="179">
        <f>'Parameters | Agora'!B301</f>
        <v>0.5</v>
      </c>
      <c r="S22" s="180" t="s">
        <v>60</v>
      </c>
      <c r="T22" s="183">
        <f>'Parameters | Agora'!B300</f>
        <v>0.13300000000000001</v>
      </c>
      <c r="U22" s="182" t="s">
        <v>61</v>
      </c>
      <c r="V22" s="187">
        <f t="shared" si="0"/>
        <v>0.63839999999999997</v>
      </c>
      <c r="W22" s="186" t="str">
        <f t="shared" si="1"/>
        <v>DALY</v>
      </c>
      <c r="X22" s="417">
        <f>'Parameters | Agora'!$B$4/'Parameters | Agora'!$B$8</f>
        <v>55879.24</v>
      </c>
      <c r="Y22" s="190" t="str">
        <f t="shared" si="2"/>
        <v>EUR impact/DALY</v>
      </c>
      <c r="Z22" s="175">
        <f t="shared" si="3"/>
        <v>35673.306815999997</v>
      </c>
      <c r="AA22" s="417">
        <f>'Parameters | Agora'!$B$4/'Parameters | Agora'!$B$8</f>
        <v>55879.24</v>
      </c>
      <c r="AB22" s="190" t="str">
        <f t="shared" si="4"/>
        <v>EUR impact/DALY</v>
      </c>
      <c r="AC22" s="175">
        <f t="shared" si="5"/>
        <v>35673.306815999997</v>
      </c>
      <c r="AD22" s="410"/>
      <c r="AE22" s="175">
        <f t="shared" si="6"/>
        <v>0</v>
      </c>
    </row>
    <row r="23" spans="1:31">
      <c r="A23" s="90" t="s">
        <v>3033</v>
      </c>
      <c r="B23" s="91">
        <v>2025</v>
      </c>
      <c r="C23" s="90" t="s">
        <v>612</v>
      </c>
      <c r="D23" s="90" t="s">
        <v>613</v>
      </c>
      <c r="E23" s="90" t="s">
        <v>1907</v>
      </c>
      <c r="F23" s="90" t="s">
        <v>3050</v>
      </c>
      <c r="G23" s="90" t="s">
        <v>3112</v>
      </c>
      <c r="H23" s="90" t="s">
        <v>3106</v>
      </c>
      <c r="I23" s="90" t="s">
        <v>67</v>
      </c>
      <c r="J23" s="92" t="s">
        <v>5</v>
      </c>
      <c r="K23" s="90" t="s">
        <v>10</v>
      </c>
      <c r="L23" s="92" t="s">
        <v>65</v>
      </c>
      <c r="M23" s="164">
        <f>'Parameters | Agora'!B292</f>
        <v>20</v>
      </c>
      <c r="N23" s="165" t="s">
        <v>59</v>
      </c>
      <c r="O23" s="176">
        <v>1</v>
      </c>
      <c r="P23" s="177">
        <v>1</v>
      </c>
      <c r="Q23" s="178">
        <v>1</v>
      </c>
      <c r="R23" s="179">
        <v>1</v>
      </c>
      <c r="S23" s="180" t="s">
        <v>60</v>
      </c>
      <c r="T23" s="183">
        <f>'Parameters | Agora'!B306*'Parameters | Agora'!B307</f>
        <v>75</v>
      </c>
      <c r="U23" s="182" t="s">
        <v>3064</v>
      </c>
      <c r="V23" s="187">
        <f t="shared" si="0"/>
        <v>1500</v>
      </c>
      <c r="W23" s="186" t="str">
        <f t="shared" si="1"/>
        <v>EUR</v>
      </c>
      <c r="X23" s="417">
        <v>1</v>
      </c>
      <c r="Y23" s="190" t="str">
        <f t="shared" si="2"/>
        <v>EUR impact/EUR</v>
      </c>
      <c r="Z23" s="175">
        <f t="shared" si="3"/>
        <v>1500</v>
      </c>
      <c r="AA23" s="417">
        <f>INDEX('HUT 2023 | VI'!$G:$G,MATCH($D23,'HUT 2023 | VI'!$B:$B,0))</f>
        <v>2.354758421087829</v>
      </c>
      <c r="AB23" s="190" t="str">
        <f t="shared" si="4"/>
        <v>EUR impact/EUR</v>
      </c>
      <c r="AC23" s="175">
        <f t="shared" si="5"/>
        <v>3532.1376316317433</v>
      </c>
      <c r="AD23" s="410"/>
      <c r="AE23" s="175">
        <f t="shared" si="6"/>
        <v>0</v>
      </c>
    </row>
    <row r="24" spans="1:31">
      <c r="A24" s="90" t="s">
        <v>3033</v>
      </c>
      <c r="B24" s="91">
        <v>2025</v>
      </c>
      <c r="C24" s="90" t="s">
        <v>612</v>
      </c>
      <c r="D24" s="90" t="s">
        <v>613</v>
      </c>
      <c r="E24" s="90" t="s">
        <v>1907</v>
      </c>
      <c r="F24" s="90" t="s">
        <v>3053</v>
      </c>
      <c r="G24" s="90" t="s">
        <v>3051</v>
      </c>
      <c r="H24" s="90" t="s">
        <v>3105</v>
      </c>
      <c r="I24" s="90" t="s">
        <v>62</v>
      </c>
      <c r="J24" s="92" t="s">
        <v>8</v>
      </c>
      <c r="K24" s="90" t="s">
        <v>3043</v>
      </c>
      <c r="L24" s="92" t="s">
        <v>58</v>
      </c>
      <c r="M24" s="164">
        <f>'Parameters | Agora'!B312</f>
        <v>25</v>
      </c>
      <c r="N24" s="165" t="s">
        <v>59</v>
      </c>
      <c r="O24" s="176">
        <v>1</v>
      </c>
      <c r="P24" s="177">
        <v>1</v>
      </c>
      <c r="Q24" s="178">
        <v>1</v>
      </c>
      <c r="R24" s="179">
        <v>1</v>
      </c>
      <c r="S24" s="180" t="s">
        <v>60</v>
      </c>
      <c r="T24" s="183">
        <f>'Parameters | Agora'!B313</f>
        <v>800</v>
      </c>
      <c r="U24" s="182" t="s">
        <v>3064</v>
      </c>
      <c r="V24" s="187">
        <f t="shared" si="0"/>
        <v>20000</v>
      </c>
      <c r="W24" s="186" t="str">
        <f t="shared" si="1"/>
        <v>EUR</v>
      </c>
      <c r="X24" s="417">
        <v>1</v>
      </c>
      <c r="Y24" s="190" t="str">
        <f t="shared" si="2"/>
        <v>EUR impact/EUR</v>
      </c>
      <c r="Z24" s="175">
        <f t="shared" si="3"/>
        <v>20000</v>
      </c>
      <c r="AA24" s="417">
        <f>INDEX('HUI 2023 | VI'!$H:$H,MATCH("ALB",'HUI 2023 | VI'!$B:$B,0))</f>
        <v>0.56911995207157595</v>
      </c>
      <c r="AB24" s="190" t="str">
        <f t="shared" si="4"/>
        <v>EUR impact/EUR</v>
      </c>
      <c r="AC24" s="175">
        <f t="shared" si="5"/>
        <v>11382.399041431519</v>
      </c>
      <c r="AD24" s="410"/>
      <c r="AE24" s="175">
        <f t="shared" si="6"/>
        <v>0</v>
      </c>
    </row>
    <row r="25" spans="1:31">
      <c r="A25" s="90" t="s">
        <v>3033</v>
      </c>
      <c r="B25" s="91">
        <v>2025</v>
      </c>
      <c r="C25" s="90" t="s">
        <v>612</v>
      </c>
      <c r="D25" s="90" t="s">
        <v>613</v>
      </c>
      <c r="E25" s="90" t="s">
        <v>1907</v>
      </c>
      <c r="F25" s="90" t="s">
        <v>3053</v>
      </c>
      <c r="G25" s="90" t="s">
        <v>3052</v>
      </c>
      <c r="H25" s="90" t="s">
        <v>3105</v>
      </c>
      <c r="I25" s="90" t="s">
        <v>57</v>
      </c>
      <c r="J25" s="92" t="s">
        <v>9</v>
      </c>
      <c r="K25" s="90" t="s">
        <v>17</v>
      </c>
      <c r="L25" s="92" t="s">
        <v>58</v>
      </c>
      <c r="M25" s="164">
        <f>'Parameters | Agora'!B312*'Parameters | Agora'!B315</f>
        <v>37.5</v>
      </c>
      <c r="N25" s="165" t="s">
        <v>59</v>
      </c>
      <c r="O25" s="176">
        <f>'Parameters | Agora'!B319</f>
        <v>0.9</v>
      </c>
      <c r="P25" s="177">
        <f>'Parameters | Agora'!B320</f>
        <v>0.4</v>
      </c>
      <c r="Q25" s="178">
        <v>1</v>
      </c>
      <c r="R25" s="179">
        <f>'Parameters | Agora'!B316</f>
        <v>0.5</v>
      </c>
      <c r="S25" s="180" t="s">
        <v>60</v>
      </c>
      <c r="T25" s="183">
        <f>'Parameters | Agora'!B314</f>
        <v>0.13300000000000001</v>
      </c>
      <c r="U25" s="182" t="s">
        <v>61</v>
      </c>
      <c r="V25" s="187">
        <f t="shared" si="0"/>
        <v>0.89775000000000005</v>
      </c>
      <c r="W25" s="186" t="str">
        <f t="shared" si="1"/>
        <v>DALY</v>
      </c>
      <c r="X25" s="417">
        <f>'Parameters | Agora'!$B$4/'Parameters | Agora'!$B$8</f>
        <v>55879.24</v>
      </c>
      <c r="Y25" s="190" t="str">
        <f t="shared" si="2"/>
        <v>EUR impact/DALY</v>
      </c>
      <c r="Z25" s="175">
        <f t="shared" si="3"/>
        <v>50165.58771</v>
      </c>
      <c r="AA25" s="417">
        <f>'Parameters | Agora'!$B$4/'Parameters | Agora'!$B$8</f>
        <v>55879.24</v>
      </c>
      <c r="AB25" s="190" t="str">
        <f t="shared" si="4"/>
        <v>EUR impact/DALY</v>
      </c>
      <c r="AC25" s="175">
        <f t="shared" si="5"/>
        <v>50165.58771</v>
      </c>
      <c r="AD25" s="410"/>
      <c r="AE25" s="175">
        <f t="shared" si="6"/>
        <v>0</v>
      </c>
    </row>
    <row r="26" spans="1:31">
      <c r="A26" s="90" t="s">
        <v>3033</v>
      </c>
      <c r="B26" s="91">
        <v>2025</v>
      </c>
      <c r="C26" s="90" t="s">
        <v>612</v>
      </c>
      <c r="D26" s="90" t="s">
        <v>613</v>
      </c>
      <c r="E26" s="90" t="s">
        <v>1907</v>
      </c>
      <c r="F26" s="90" t="s">
        <v>3053</v>
      </c>
      <c r="G26" s="90" t="s">
        <v>3096</v>
      </c>
      <c r="H26" s="90" t="s">
        <v>3106</v>
      </c>
      <c r="I26" s="90" t="s">
        <v>67</v>
      </c>
      <c r="J26" s="92" t="s">
        <v>5</v>
      </c>
      <c r="K26" s="90" t="s">
        <v>10</v>
      </c>
      <c r="L26" s="92" t="s">
        <v>65</v>
      </c>
      <c r="M26" s="164">
        <f>'Parameters | Agora'!B312</f>
        <v>25</v>
      </c>
      <c r="N26" s="165" t="s">
        <v>59</v>
      </c>
      <c r="O26" s="176">
        <v>1</v>
      </c>
      <c r="P26" s="177">
        <v>1</v>
      </c>
      <c r="Q26" s="178">
        <v>1</v>
      </c>
      <c r="R26" s="179">
        <v>1</v>
      </c>
      <c r="S26" s="180" t="s">
        <v>60</v>
      </c>
      <c r="T26" s="183">
        <f>'Parameters | Agora'!B321+'Parameters | Agora'!B315*'Parameters | Agora'!B322*'Parameters | Agora'!B323</f>
        <v>850</v>
      </c>
      <c r="U26" s="182" t="s">
        <v>3064</v>
      </c>
      <c r="V26" s="187">
        <f t="shared" si="0"/>
        <v>21250</v>
      </c>
      <c r="W26" s="186" t="str">
        <f t="shared" si="1"/>
        <v>EUR</v>
      </c>
      <c r="X26" s="417">
        <v>1</v>
      </c>
      <c r="Y26" s="190" t="str">
        <f t="shared" si="2"/>
        <v>EUR impact/EUR</v>
      </c>
      <c r="Z26" s="175">
        <f t="shared" si="3"/>
        <v>21250</v>
      </c>
      <c r="AA26" s="417">
        <f>INDEX('HUT 2023 | VI'!$G:$G,MATCH($D26,'HUT 2023 | VI'!$B:$B,0))</f>
        <v>2.354758421087829</v>
      </c>
      <c r="AB26" s="190" t="str">
        <f t="shared" si="4"/>
        <v>EUR impact/EUR</v>
      </c>
      <c r="AC26" s="175">
        <f t="shared" si="5"/>
        <v>50038.616448116365</v>
      </c>
      <c r="AD26" s="410"/>
      <c r="AE26" s="175">
        <f t="shared" si="6"/>
        <v>0</v>
      </c>
    </row>
    <row r="27" spans="1:31">
      <c r="A27" s="90" t="s">
        <v>3033</v>
      </c>
      <c r="B27" s="91">
        <v>2025</v>
      </c>
      <c r="C27" s="90" t="s">
        <v>612</v>
      </c>
      <c r="D27" s="90" t="s">
        <v>613</v>
      </c>
      <c r="E27" s="90" t="s">
        <v>1907</v>
      </c>
      <c r="F27" s="90" t="s">
        <v>3054</v>
      </c>
      <c r="G27" s="90" t="s">
        <v>3037</v>
      </c>
      <c r="H27" s="90" t="s">
        <v>3105</v>
      </c>
      <c r="I27" s="90" t="s">
        <v>62</v>
      </c>
      <c r="J27" s="92" t="s">
        <v>8</v>
      </c>
      <c r="K27" s="90" t="s">
        <v>3043</v>
      </c>
      <c r="L27" s="92" t="s">
        <v>58</v>
      </c>
      <c r="M27" s="164">
        <f>'Parameters | Agora'!B331</f>
        <v>20</v>
      </c>
      <c r="N27" s="165" t="s">
        <v>59</v>
      </c>
      <c r="O27" s="176">
        <v>1</v>
      </c>
      <c r="P27" s="177">
        <v>1</v>
      </c>
      <c r="Q27" s="178">
        <v>1</v>
      </c>
      <c r="R27" s="179">
        <v>1</v>
      </c>
      <c r="S27" s="180" t="s">
        <v>60</v>
      </c>
      <c r="T27" s="183">
        <f>'Parameters | Agora'!B330+'Parameters | Agora'!B330*'Parameters | Agora'!B332</f>
        <v>300</v>
      </c>
      <c r="U27" s="182" t="s">
        <v>3064</v>
      </c>
      <c r="V27" s="187">
        <f t="shared" si="0"/>
        <v>6000</v>
      </c>
      <c r="W27" s="186" t="str">
        <f t="shared" si="1"/>
        <v>EUR</v>
      </c>
      <c r="X27" s="417">
        <v>1</v>
      </c>
      <c r="Y27" s="190" t="str">
        <f t="shared" si="2"/>
        <v>EUR impact/EUR</v>
      </c>
      <c r="Z27" s="175">
        <f t="shared" si="3"/>
        <v>6000</v>
      </c>
      <c r="AA27" s="417">
        <f>INDEX('HUI 2023 | VI'!$H:$H,MATCH("ALB",'HUI 2023 | VI'!$B:$B,0))</f>
        <v>0.56911995207157595</v>
      </c>
      <c r="AB27" s="190" t="str">
        <f t="shared" si="4"/>
        <v>EUR impact/EUR</v>
      </c>
      <c r="AC27" s="175">
        <f t="shared" si="5"/>
        <v>3414.7197124294557</v>
      </c>
      <c r="AD27" s="410"/>
      <c r="AE27" s="175">
        <f t="shared" si="6"/>
        <v>0</v>
      </c>
    </row>
    <row r="28" spans="1:31">
      <c r="A28" s="90" t="s">
        <v>3033</v>
      </c>
      <c r="B28" s="91">
        <v>2025</v>
      </c>
      <c r="C28" s="90" t="s">
        <v>612</v>
      </c>
      <c r="D28" s="90" t="s">
        <v>613</v>
      </c>
      <c r="E28" s="90" t="s">
        <v>1907</v>
      </c>
      <c r="F28" s="90" t="s">
        <v>3054</v>
      </c>
      <c r="G28" s="90" t="s">
        <v>3052</v>
      </c>
      <c r="H28" s="90" t="s">
        <v>3105</v>
      </c>
      <c r="I28" s="90" t="s">
        <v>57</v>
      </c>
      <c r="J28" s="92" t="s">
        <v>9</v>
      </c>
      <c r="K28" s="90" t="s">
        <v>17</v>
      </c>
      <c r="L28" s="92" t="s">
        <v>58</v>
      </c>
      <c r="M28" s="164">
        <f>'Parameters | Agora'!B331</f>
        <v>20</v>
      </c>
      <c r="N28" s="165" t="s">
        <v>59</v>
      </c>
      <c r="O28" s="176">
        <f>'Parameters | Agora'!B337</f>
        <v>0.7</v>
      </c>
      <c r="P28" s="177">
        <f>'Parameters | Agora'!B338</f>
        <v>0.8</v>
      </c>
      <c r="Q28" s="178">
        <v>1</v>
      </c>
      <c r="R28" s="179">
        <f>'Parameters | Agora'!B334</f>
        <v>0.5</v>
      </c>
      <c r="S28" s="180" t="s">
        <v>60</v>
      </c>
      <c r="T28" s="183">
        <f>'Parameters | Agora'!B333</f>
        <v>0.03</v>
      </c>
      <c r="U28" s="182" t="s">
        <v>61</v>
      </c>
      <c r="V28" s="187">
        <f t="shared" si="0"/>
        <v>0.16800000000000001</v>
      </c>
      <c r="W28" s="186" t="str">
        <f t="shared" si="1"/>
        <v>DALY</v>
      </c>
      <c r="X28" s="417">
        <f>'Parameters | Agora'!$B$4/'Parameters | Agora'!$B$8</f>
        <v>55879.24</v>
      </c>
      <c r="Y28" s="190" t="str">
        <f t="shared" si="2"/>
        <v>EUR impact/DALY</v>
      </c>
      <c r="Z28" s="175">
        <f t="shared" si="3"/>
        <v>9387.7123200000005</v>
      </c>
      <c r="AA28" s="417">
        <f>'Parameters | Agora'!$B$4/'Parameters | Agora'!$B$8</f>
        <v>55879.24</v>
      </c>
      <c r="AB28" s="190" t="str">
        <f t="shared" si="4"/>
        <v>EUR impact/DALY</v>
      </c>
      <c r="AC28" s="175">
        <f t="shared" si="5"/>
        <v>9387.7123200000005</v>
      </c>
      <c r="AD28" s="410"/>
      <c r="AE28" s="175">
        <f t="shared" si="6"/>
        <v>0</v>
      </c>
    </row>
    <row r="29" spans="1:31">
      <c r="A29" s="90" t="s">
        <v>3033</v>
      </c>
      <c r="B29" s="91">
        <v>2025</v>
      </c>
      <c r="C29" s="90" t="s">
        <v>612</v>
      </c>
      <c r="D29" s="90" t="s">
        <v>613</v>
      </c>
      <c r="E29" s="90" t="s">
        <v>1907</v>
      </c>
      <c r="F29" s="90" t="s">
        <v>3054</v>
      </c>
      <c r="G29" s="90" t="s">
        <v>3097</v>
      </c>
      <c r="H29" s="90" t="s">
        <v>3106</v>
      </c>
      <c r="I29" s="90" t="s">
        <v>67</v>
      </c>
      <c r="J29" s="92" t="s">
        <v>5</v>
      </c>
      <c r="K29" s="90" t="s">
        <v>10</v>
      </c>
      <c r="L29" s="92" t="s">
        <v>65</v>
      </c>
      <c r="M29" s="164">
        <f>'Parameters | Agora'!B331</f>
        <v>20</v>
      </c>
      <c r="N29" s="165" t="s">
        <v>59</v>
      </c>
      <c r="O29" s="176">
        <v>1</v>
      </c>
      <c r="P29" s="177">
        <v>1</v>
      </c>
      <c r="Q29" s="178">
        <v>1</v>
      </c>
      <c r="R29" s="179">
        <v>1</v>
      </c>
      <c r="S29" s="180" t="s">
        <v>60</v>
      </c>
      <c r="T29" s="183">
        <f>'Parameters | Agora'!B340</f>
        <v>150</v>
      </c>
      <c r="U29" s="182" t="s">
        <v>3064</v>
      </c>
      <c r="V29" s="187">
        <f t="shared" si="0"/>
        <v>3000</v>
      </c>
      <c r="W29" s="186" t="str">
        <f t="shared" si="1"/>
        <v>EUR</v>
      </c>
      <c r="X29" s="417">
        <v>1</v>
      </c>
      <c r="Y29" s="190" t="str">
        <f t="shared" si="2"/>
        <v>EUR impact/EUR</v>
      </c>
      <c r="Z29" s="175">
        <f t="shared" si="3"/>
        <v>3000</v>
      </c>
      <c r="AA29" s="417">
        <f>INDEX('HUT 2023 | VI'!$G:$G,MATCH($D29,'HUT 2023 | VI'!$B:$B,0))</f>
        <v>2.354758421087829</v>
      </c>
      <c r="AB29" s="190" t="str">
        <f t="shared" si="4"/>
        <v>EUR impact/EUR</v>
      </c>
      <c r="AC29" s="175">
        <f t="shared" si="5"/>
        <v>7064.2752632634865</v>
      </c>
      <c r="AD29" s="410"/>
      <c r="AE29" s="175">
        <f t="shared" si="6"/>
        <v>0</v>
      </c>
    </row>
    <row r="30" spans="1:31">
      <c r="A30" s="90" t="s">
        <v>3033</v>
      </c>
      <c r="B30" s="91">
        <v>2025</v>
      </c>
      <c r="C30" s="90" t="s">
        <v>612</v>
      </c>
      <c r="D30" s="90" t="s">
        <v>613</v>
      </c>
      <c r="E30" s="90" t="s">
        <v>1907</v>
      </c>
      <c r="F30" s="90" t="s">
        <v>3055</v>
      </c>
      <c r="G30" s="90" t="s">
        <v>3056</v>
      </c>
      <c r="H30" s="90" t="s">
        <v>3105</v>
      </c>
      <c r="I30" s="90" t="s">
        <v>62</v>
      </c>
      <c r="J30" s="92" t="s">
        <v>8</v>
      </c>
      <c r="K30" s="90" t="s">
        <v>3043</v>
      </c>
      <c r="L30" s="92" t="s">
        <v>58</v>
      </c>
      <c r="M30" s="164">
        <f>'Parameters | Agora'!B295</f>
        <v>150</v>
      </c>
      <c r="N30" s="165" t="s">
        <v>59</v>
      </c>
      <c r="O30" s="176">
        <v>1</v>
      </c>
      <c r="P30" s="177">
        <v>1</v>
      </c>
      <c r="Q30" s="178">
        <v>1</v>
      </c>
      <c r="R30" s="179">
        <v>1</v>
      </c>
      <c r="S30" s="180" t="s">
        <v>60</v>
      </c>
      <c r="T30" s="183">
        <f>'Parameters | Agora'!B346*'Parameters | Agora'!B347</f>
        <v>120</v>
      </c>
      <c r="U30" s="182" t="s">
        <v>3064</v>
      </c>
      <c r="V30" s="187">
        <f t="shared" si="0"/>
        <v>18000</v>
      </c>
      <c r="W30" s="186" t="str">
        <f t="shared" si="1"/>
        <v>EUR</v>
      </c>
      <c r="X30" s="417">
        <v>1</v>
      </c>
      <c r="Y30" s="190" t="str">
        <f t="shared" si="2"/>
        <v>EUR impact/EUR</v>
      </c>
      <c r="Z30" s="175">
        <f t="shared" si="3"/>
        <v>18000</v>
      </c>
      <c r="AA30" s="417">
        <f>INDEX('HUI 2023 | VI'!$H:$H,MATCH("ALB",'HUI 2023 | VI'!$B:$B,0))</f>
        <v>0.56911995207157595</v>
      </c>
      <c r="AB30" s="190" t="str">
        <f t="shared" si="4"/>
        <v>EUR impact/EUR</v>
      </c>
      <c r="AC30" s="175">
        <f t="shared" si="5"/>
        <v>10244.159137288367</v>
      </c>
      <c r="AD30" s="410"/>
      <c r="AE30" s="175">
        <f t="shared" si="6"/>
        <v>0</v>
      </c>
    </row>
    <row r="31" spans="1:31">
      <c r="A31" s="90" t="s">
        <v>3033</v>
      </c>
      <c r="B31" s="91">
        <v>2025</v>
      </c>
      <c r="C31" s="90" t="s">
        <v>612</v>
      </c>
      <c r="D31" s="90" t="s">
        <v>613</v>
      </c>
      <c r="E31" s="90" t="s">
        <v>1907</v>
      </c>
      <c r="F31" s="90" t="s">
        <v>3055</v>
      </c>
      <c r="G31" s="90" t="s">
        <v>3052</v>
      </c>
      <c r="H31" s="90" t="s">
        <v>3105</v>
      </c>
      <c r="I31" s="90" t="s">
        <v>57</v>
      </c>
      <c r="J31" s="92" t="s">
        <v>9</v>
      </c>
      <c r="K31" s="90" t="s">
        <v>17</v>
      </c>
      <c r="L31" s="92" t="s">
        <v>58</v>
      </c>
      <c r="M31" s="164">
        <f>'Parameters | Agora'!B295</f>
        <v>150</v>
      </c>
      <c r="N31" s="165" t="s">
        <v>59</v>
      </c>
      <c r="O31" s="176">
        <f>'Parameters | Agora'!B350</f>
        <v>0.4</v>
      </c>
      <c r="P31" s="177">
        <f>'Parameters | Agora'!B351</f>
        <v>0.25</v>
      </c>
      <c r="Q31" s="178">
        <v>1</v>
      </c>
      <c r="R31" s="179">
        <f>'Parameters | Agora'!B354</f>
        <v>0.5</v>
      </c>
      <c r="S31" s="180" t="s">
        <v>60</v>
      </c>
      <c r="T31" s="183">
        <f>'Parameters | Agora'!B348</f>
        <v>0.13300000000000001</v>
      </c>
      <c r="U31" s="182" t="s">
        <v>61</v>
      </c>
      <c r="V31" s="187">
        <f t="shared" si="0"/>
        <v>0.99750000000000005</v>
      </c>
      <c r="W31" s="186" t="str">
        <f t="shared" si="1"/>
        <v>DALY</v>
      </c>
      <c r="X31" s="417">
        <f>'Parameters | Agora'!$B$4/'Parameters | Agora'!$B$8</f>
        <v>55879.24</v>
      </c>
      <c r="Y31" s="190" t="str">
        <f t="shared" si="2"/>
        <v>EUR impact/DALY</v>
      </c>
      <c r="Z31" s="175">
        <f t="shared" si="3"/>
        <v>55739.541900000004</v>
      </c>
      <c r="AA31" s="417">
        <f>'Parameters | Agora'!$B$4/'Parameters | Agora'!$B$8</f>
        <v>55879.24</v>
      </c>
      <c r="AB31" s="190" t="str">
        <f t="shared" si="4"/>
        <v>EUR impact/DALY</v>
      </c>
      <c r="AC31" s="175">
        <f t="shared" si="5"/>
        <v>55739.541900000004</v>
      </c>
      <c r="AD31" s="410"/>
      <c r="AE31" s="175">
        <f t="shared" si="6"/>
        <v>0</v>
      </c>
    </row>
    <row r="32" spans="1:31">
      <c r="A32" s="90" t="s">
        <v>3033</v>
      </c>
      <c r="B32" s="91">
        <v>2025</v>
      </c>
      <c r="C32" s="90" t="s">
        <v>612</v>
      </c>
      <c r="D32" s="90" t="s">
        <v>613</v>
      </c>
      <c r="E32" s="90" t="s">
        <v>1907</v>
      </c>
      <c r="F32" s="90" t="s">
        <v>3055</v>
      </c>
      <c r="G32" s="90" t="s">
        <v>3038</v>
      </c>
      <c r="H32" s="90" t="s">
        <v>3105</v>
      </c>
      <c r="I32" s="90" t="s">
        <v>57</v>
      </c>
      <c r="J32" s="92" t="s">
        <v>9</v>
      </c>
      <c r="K32" s="90" t="s">
        <v>17</v>
      </c>
      <c r="L32" s="92" t="s">
        <v>58</v>
      </c>
      <c r="M32" s="164">
        <f>'Parameters | Agora'!B295</f>
        <v>150</v>
      </c>
      <c r="N32" s="165" t="s">
        <v>59</v>
      </c>
      <c r="O32" s="176">
        <f>'Parameters | Agora'!B352</f>
        <v>0.08</v>
      </c>
      <c r="P32" s="177">
        <f>'Parameters | Agora'!B353</f>
        <v>0.3</v>
      </c>
      <c r="Q32" s="178">
        <v>1</v>
      </c>
      <c r="R32" s="179">
        <v>1</v>
      </c>
      <c r="S32" s="180" t="s">
        <v>60</v>
      </c>
      <c r="T32" s="183">
        <f>'Parameters | Agora'!B349</f>
        <v>0.02</v>
      </c>
      <c r="U32" s="182" t="s">
        <v>61</v>
      </c>
      <c r="V32" s="187">
        <f t="shared" si="0"/>
        <v>7.1999999999999995E-2</v>
      </c>
      <c r="W32" s="186" t="str">
        <f t="shared" si="1"/>
        <v>DALY</v>
      </c>
      <c r="X32" s="417">
        <f>'Parameters | Agora'!$B$4/'Parameters | Agora'!$B$8</f>
        <v>55879.24</v>
      </c>
      <c r="Y32" s="190" t="str">
        <f t="shared" si="2"/>
        <v>EUR impact/DALY</v>
      </c>
      <c r="Z32" s="175">
        <f t="shared" si="3"/>
        <v>4023.3052799999996</v>
      </c>
      <c r="AA32" s="417">
        <f>'Parameters | Agora'!$B$4/'Parameters | Agora'!$B$8</f>
        <v>55879.24</v>
      </c>
      <c r="AB32" s="190" t="str">
        <f t="shared" si="4"/>
        <v>EUR impact/DALY</v>
      </c>
      <c r="AC32" s="175">
        <f t="shared" si="5"/>
        <v>4023.3052799999996</v>
      </c>
      <c r="AD32" s="410"/>
      <c r="AE32" s="175">
        <f t="shared" si="6"/>
        <v>0</v>
      </c>
    </row>
    <row r="33" spans="1:31">
      <c r="A33" s="90" t="s">
        <v>3033</v>
      </c>
      <c r="B33" s="91">
        <v>2025</v>
      </c>
      <c r="C33" s="90" t="s">
        <v>612</v>
      </c>
      <c r="D33" s="90" t="s">
        <v>613</v>
      </c>
      <c r="E33" s="90" t="s">
        <v>1907</v>
      </c>
      <c r="F33" s="90" t="s">
        <v>3057</v>
      </c>
      <c r="G33" s="90" t="s">
        <v>3039</v>
      </c>
      <c r="H33" s="90" t="s">
        <v>3105</v>
      </c>
      <c r="I33" s="90" t="s">
        <v>62</v>
      </c>
      <c r="J33" s="92" t="s">
        <v>8</v>
      </c>
      <c r="K33" s="90" t="s">
        <v>3043</v>
      </c>
      <c r="L33" s="92" t="s">
        <v>58</v>
      </c>
      <c r="M33" s="164">
        <f>'Parameters | Agora'!B362</f>
        <v>10</v>
      </c>
      <c r="N33" s="165" t="s">
        <v>77</v>
      </c>
      <c r="O33" s="176">
        <v>1</v>
      </c>
      <c r="P33" s="177">
        <v>1</v>
      </c>
      <c r="Q33" s="178">
        <v>1</v>
      </c>
      <c r="R33" s="179">
        <f>'Parameters | Agora'!B368</f>
        <v>10</v>
      </c>
      <c r="S33" s="180" t="s">
        <v>2625</v>
      </c>
      <c r="T33" s="183">
        <f>'Parameters | Agora'!B369</f>
        <v>200</v>
      </c>
      <c r="U33" s="182" t="s">
        <v>3068</v>
      </c>
      <c r="V33" s="187">
        <f t="shared" si="0"/>
        <v>20000</v>
      </c>
      <c r="W33" s="186" t="str">
        <f t="shared" si="1"/>
        <v>EUR</v>
      </c>
      <c r="X33" s="417">
        <v>1</v>
      </c>
      <c r="Y33" s="190" t="str">
        <f t="shared" si="2"/>
        <v>EUR impact/EUR</v>
      </c>
      <c r="Z33" s="175">
        <f t="shared" si="3"/>
        <v>20000</v>
      </c>
      <c r="AA33" s="417">
        <f>INDEX('HUI 2023 | VI'!$H:$H,MATCH("ALB",'HUI 2023 | VI'!$B:$B,0))</f>
        <v>0.56911995207157595</v>
      </c>
      <c r="AB33" s="190" t="str">
        <f t="shared" si="4"/>
        <v>EUR impact/EUR</v>
      </c>
      <c r="AC33" s="175">
        <f t="shared" si="5"/>
        <v>11382.399041431519</v>
      </c>
      <c r="AD33" s="410"/>
      <c r="AE33" s="175">
        <f t="shared" si="6"/>
        <v>0</v>
      </c>
    </row>
    <row r="34" spans="1:31">
      <c r="A34" s="90" t="s">
        <v>3033</v>
      </c>
      <c r="B34" s="91">
        <v>2025</v>
      </c>
      <c r="C34" s="90" t="s">
        <v>612</v>
      </c>
      <c r="D34" s="90" t="s">
        <v>613</v>
      </c>
      <c r="E34" s="90" t="s">
        <v>1907</v>
      </c>
      <c r="F34" s="90" t="s">
        <v>3057</v>
      </c>
      <c r="G34" s="90" t="s">
        <v>3098</v>
      </c>
      <c r="H34" s="90" t="s">
        <v>3105</v>
      </c>
      <c r="I34" s="90" t="s">
        <v>62</v>
      </c>
      <c r="J34" s="92" t="s">
        <v>8</v>
      </c>
      <c r="K34" s="90" t="s">
        <v>8</v>
      </c>
      <c r="L34" s="92" t="s">
        <v>58</v>
      </c>
      <c r="M34" s="164">
        <f>'Parameters | Agora'!B362*'Parameters | Agora'!B373</f>
        <v>7</v>
      </c>
      <c r="N34" s="165" t="s">
        <v>3058</v>
      </c>
      <c r="O34" s="176">
        <v>1</v>
      </c>
      <c r="P34" s="177">
        <v>1</v>
      </c>
      <c r="Q34" s="178">
        <v>1</v>
      </c>
      <c r="R34" s="179">
        <f>'Parameters | Agora'!B371*'Parameters | Agora'!B372*'Parameters | Agora'!B368</f>
        <v>880</v>
      </c>
      <c r="S34" s="180" t="s">
        <v>3071</v>
      </c>
      <c r="T34" s="183">
        <f>'Parameters | Agora'!B370</f>
        <v>8.5</v>
      </c>
      <c r="U34" s="182" t="s">
        <v>3065</v>
      </c>
      <c r="V34" s="187">
        <f t="shared" si="0"/>
        <v>52360</v>
      </c>
      <c r="W34" s="186" t="str">
        <f t="shared" si="1"/>
        <v>EUR</v>
      </c>
      <c r="X34" s="417">
        <v>1</v>
      </c>
      <c r="Y34" s="190" t="str">
        <f t="shared" si="2"/>
        <v>EUR impact/EUR</v>
      </c>
      <c r="Z34" s="175">
        <f t="shared" si="3"/>
        <v>52360</v>
      </c>
      <c r="AA34" s="417">
        <f>INDEX('HUI 2023 | VI'!$H:$H,MATCH("ALB",'HUI 2023 | VI'!$B:$B,0))</f>
        <v>0.56911995207157595</v>
      </c>
      <c r="AB34" s="190" t="str">
        <f t="shared" si="4"/>
        <v>EUR impact/EUR</v>
      </c>
      <c r="AC34" s="175">
        <f t="shared" si="5"/>
        <v>29799.120690467716</v>
      </c>
      <c r="AD34" s="410"/>
      <c r="AE34" s="175">
        <f t="shared" si="6"/>
        <v>0</v>
      </c>
    </row>
    <row r="35" spans="1:31">
      <c r="A35" s="90" t="s">
        <v>3033</v>
      </c>
      <c r="B35" s="91">
        <v>2025</v>
      </c>
      <c r="C35" s="90" t="s">
        <v>612</v>
      </c>
      <c r="D35" s="90" t="s">
        <v>613</v>
      </c>
      <c r="E35" s="90" t="s">
        <v>1907</v>
      </c>
      <c r="F35" s="90" t="s">
        <v>3057</v>
      </c>
      <c r="G35" s="90" t="s">
        <v>3099</v>
      </c>
      <c r="H35" s="90" t="s">
        <v>3106</v>
      </c>
      <c r="I35" s="90" t="s">
        <v>67</v>
      </c>
      <c r="J35" s="92" t="s">
        <v>5</v>
      </c>
      <c r="K35" s="90" t="s">
        <v>10</v>
      </c>
      <c r="L35" s="92" t="s">
        <v>65</v>
      </c>
      <c r="M35" s="164">
        <f>'Parameters | Agora'!B362</f>
        <v>10</v>
      </c>
      <c r="N35" s="165" t="s">
        <v>77</v>
      </c>
      <c r="O35" s="176">
        <v>1</v>
      </c>
      <c r="P35" s="177">
        <v>1</v>
      </c>
      <c r="Q35" s="178">
        <v>1</v>
      </c>
      <c r="R35" s="179">
        <v>1</v>
      </c>
      <c r="S35" s="180" t="s">
        <v>60</v>
      </c>
      <c r="T35" s="183">
        <f>'Parameters | Agora'!B381/'Parameters | Agora'!B362</f>
        <v>1168</v>
      </c>
      <c r="U35" s="182" t="s">
        <v>3069</v>
      </c>
      <c r="V35" s="187">
        <f t="shared" si="0"/>
        <v>11680</v>
      </c>
      <c r="W35" s="186" t="str">
        <f t="shared" si="1"/>
        <v>EUR</v>
      </c>
      <c r="X35" s="417">
        <v>1</v>
      </c>
      <c r="Y35" s="190" t="str">
        <f t="shared" si="2"/>
        <v>EUR impact/EUR</v>
      </c>
      <c r="Z35" s="175">
        <f t="shared" si="3"/>
        <v>11680</v>
      </c>
      <c r="AA35" s="417">
        <f>INDEX('HUT 2023 | VI'!$G:$G,MATCH($D35,'HUT 2023 | VI'!$B:$B,0))</f>
        <v>2.354758421087829</v>
      </c>
      <c r="AB35" s="190" t="str">
        <f t="shared" si="4"/>
        <v>EUR impact/EUR</v>
      </c>
      <c r="AC35" s="175">
        <f t="shared" si="5"/>
        <v>27503.578358305844</v>
      </c>
      <c r="AD35" s="410"/>
      <c r="AE35" s="175">
        <f t="shared" si="6"/>
        <v>0</v>
      </c>
    </row>
    <row r="36" spans="1:31">
      <c r="A36" s="90" t="s">
        <v>3033</v>
      </c>
      <c r="B36" s="91">
        <v>2025</v>
      </c>
      <c r="C36" s="90" t="s">
        <v>612</v>
      </c>
      <c r="D36" s="90" t="s">
        <v>613</v>
      </c>
      <c r="E36" s="90" t="s">
        <v>1907</v>
      </c>
      <c r="F36" s="90" t="s">
        <v>3059</v>
      </c>
      <c r="G36" s="90" t="s">
        <v>3040</v>
      </c>
      <c r="H36" s="90" t="s">
        <v>3105</v>
      </c>
      <c r="I36" s="90" t="s">
        <v>64</v>
      </c>
      <c r="J36" s="92" t="s">
        <v>13</v>
      </c>
      <c r="K36" s="90" t="s">
        <v>7</v>
      </c>
      <c r="L36" s="92" t="s">
        <v>58</v>
      </c>
      <c r="M36" s="164">
        <f>'Parameters | Agora'!B385</f>
        <v>1500</v>
      </c>
      <c r="N36" s="165" t="s">
        <v>3060</v>
      </c>
      <c r="O36" s="176">
        <v>1</v>
      </c>
      <c r="P36" s="177">
        <v>1</v>
      </c>
      <c r="Q36" s="178">
        <v>1</v>
      </c>
      <c r="R36" s="179">
        <v>1</v>
      </c>
      <c r="S36" s="180" t="s">
        <v>60</v>
      </c>
      <c r="T36" s="183">
        <f>'Parameters | Agora'!B386</f>
        <v>15</v>
      </c>
      <c r="U36" s="182" t="s">
        <v>3070</v>
      </c>
      <c r="V36" s="187">
        <f t="shared" si="0"/>
        <v>22500</v>
      </c>
      <c r="W36" s="186" t="str">
        <f t="shared" si="1"/>
        <v>EUR</v>
      </c>
      <c r="X36" s="417">
        <v>1</v>
      </c>
      <c r="Y36" s="190" t="str">
        <f t="shared" si="2"/>
        <v>EUR impact/EUR</v>
      </c>
      <c r="Z36" s="175">
        <f t="shared" si="3"/>
        <v>22500</v>
      </c>
      <c r="AA36" s="417">
        <f>INDEX('HUI 2023 | VI'!$H:$H,MATCH("ALB",'HUI 2023 | VI'!$B:$B,0))</f>
        <v>0.56911995207157595</v>
      </c>
      <c r="AB36" s="190" t="str">
        <f t="shared" si="4"/>
        <v>EUR impact/EUR</v>
      </c>
      <c r="AC36" s="175">
        <f t="shared" si="5"/>
        <v>12805.198921610459</v>
      </c>
      <c r="AD36" s="410"/>
      <c r="AE36" s="175">
        <f t="shared" si="6"/>
        <v>0</v>
      </c>
    </row>
    <row r="37" spans="1:31">
      <c r="A37" s="90" t="s">
        <v>3033</v>
      </c>
      <c r="B37" s="91">
        <v>2025</v>
      </c>
      <c r="C37" s="90" t="s">
        <v>612</v>
      </c>
      <c r="D37" s="90" t="s">
        <v>613</v>
      </c>
      <c r="E37" s="90" t="s">
        <v>1907</v>
      </c>
      <c r="F37" s="90" t="s">
        <v>3059</v>
      </c>
      <c r="G37" s="90" t="s">
        <v>3100</v>
      </c>
      <c r="H37" s="90" t="s">
        <v>68</v>
      </c>
      <c r="I37" s="90" t="s">
        <v>6</v>
      </c>
      <c r="J37" s="92" t="s">
        <v>6</v>
      </c>
      <c r="K37" s="90" t="s">
        <v>6</v>
      </c>
      <c r="L37" s="92" t="s">
        <v>69</v>
      </c>
      <c r="M37" s="164">
        <f>'Parameters | Agora'!B388</f>
        <v>500</v>
      </c>
      <c r="N37" s="165" t="s">
        <v>77</v>
      </c>
      <c r="O37" s="176">
        <v>1</v>
      </c>
      <c r="P37" s="177">
        <v>1</v>
      </c>
      <c r="Q37" s="178">
        <v>1</v>
      </c>
      <c r="R37" s="179">
        <v>1</v>
      </c>
      <c r="S37" s="180" t="s">
        <v>60</v>
      </c>
      <c r="T37" s="183">
        <f>'Parameters | Agora'!B387</f>
        <v>50</v>
      </c>
      <c r="U37" s="182" t="s">
        <v>3069</v>
      </c>
      <c r="V37" s="187">
        <f t="shared" si="0"/>
        <v>25000</v>
      </c>
      <c r="W37" s="186" t="str">
        <f t="shared" si="1"/>
        <v>EUR</v>
      </c>
      <c r="X37" s="417">
        <v>1</v>
      </c>
      <c r="Y37" s="190" t="str">
        <f t="shared" si="2"/>
        <v>EUR impact/EUR</v>
      </c>
      <c r="Z37" s="175">
        <f t="shared" si="3"/>
        <v>25000</v>
      </c>
      <c r="AA37" s="417">
        <f>INDEX('HUI 2023 | VI'!$H:$H,MATCH("ALB",'HUI 2023 | VI'!$B:$B,0))</f>
        <v>0.56911995207157595</v>
      </c>
      <c r="AB37" s="190" t="str">
        <f t="shared" si="4"/>
        <v>EUR impact/EUR</v>
      </c>
      <c r="AC37" s="175">
        <f t="shared" si="5"/>
        <v>14227.998801789399</v>
      </c>
      <c r="AD37" s="410"/>
      <c r="AE37" s="175">
        <f t="shared" si="6"/>
        <v>0</v>
      </c>
    </row>
    <row r="38" spans="1:31">
      <c r="A38" s="90" t="s">
        <v>3033</v>
      </c>
      <c r="B38" s="91">
        <v>2025</v>
      </c>
      <c r="C38" s="90" t="s">
        <v>612</v>
      </c>
      <c r="D38" s="90" t="s">
        <v>613</v>
      </c>
      <c r="E38" s="90" t="s">
        <v>1907</v>
      </c>
      <c r="F38" s="90" t="s">
        <v>3259</v>
      </c>
      <c r="G38" s="90" t="s">
        <v>3225</v>
      </c>
      <c r="H38" s="90" t="s">
        <v>3105</v>
      </c>
      <c r="I38" s="90" t="s">
        <v>57</v>
      </c>
      <c r="J38" s="92" t="s">
        <v>9</v>
      </c>
      <c r="K38" s="90" t="s">
        <v>17</v>
      </c>
      <c r="L38" s="92" t="s">
        <v>58</v>
      </c>
      <c r="M38" s="164">
        <f>'Parameters | Agora'!B400</f>
        <v>100</v>
      </c>
      <c r="N38" s="165" t="s">
        <v>59</v>
      </c>
      <c r="O38" s="176">
        <f>'Parameters | Agora'!B401</f>
        <v>0.6</v>
      </c>
      <c r="P38" s="177">
        <f>'Parameters | Agora'!B402</f>
        <v>0.3</v>
      </c>
      <c r="Q38" s="178">
        <v>1</v>
      </c>
      <c r="R38" s="179">
        <f>'Parameters | Agora'!B404</f>
        <v>1</v>
      </c>
      <c r="S38" s="180" t="s">
        <v>60</v>
      </c>
      <c r="T38" s="184">
        <f>'Parameters | Agora'!B403</f>
        <v>0.13300000000000001</v>
      </c>
      <c r="U38" s="182" t="s">
        <v>61</v>
      </c>
      <c r="V38" s="187">
        <f t="shared" ref="V38:V42" si="7">M38*O38*P38*Q38*R38*T38</f>
        <v>2.3940000000000001</v>
      </c>
      <c r="W38" s="186" t="str">
        <f t="shared" ref="W38:W43" si="8">_xlfn.TEXTBEFORE(U38,"/")</f>
        <v>DALY</v>
      </c>
      <c r="X38" s="192">
        <f>'Parameters | Agora'!$B$4/'Parameters | Agora'!$B$8</f>
        <v>55879.24</v>
      </c>
      <c r="Y38" s="190" t="str">
        <f t="shared" ref="Y38:Y43" si="9">_xlfn.CONCAT("EUR impact/",W38)</f>
        <v>EUR impact/DALY</v>
      </c>
      <c r="Z38" s="175">
        <f t="shared" ref="Z38:Z43" si="10">IF($L38&lt;&gt;"Business value",V38*X38,0)</f>
        <v>133774.90056000001</v>
      </c>
      <c r="AA38" s="192">
        <f>'Parameters | Agora'!$B$4/'Parameters | Agora'!$B$8</f>
        <v>55879.24</v>
      </c>
      <c r="AB38" s="190" t="str">
        <f t="shared" ref="AB38:AB43" si="11">_xlfn.CONCAT("EUR impact/",W38)</f>
        <v>EUR impact/DALY</v>
      </c>
      <c r="AC38" s="175">
        <f t="shared" ref="AC38:AC43" si="12">IF($L38&lt;&gt;"Business value",V38*AA38,0)</f>
        <v>133774.90056000001</v>
      </c>
      <c r="AD38" s="410"/>
      <c r="AE38" s="175">
        <f t="shared" ref="AE38:AE43" si="13">IF($L38="Business value",V38*X38,0)</f>
        <v>0</v>
      </c>
    </row>
    <row r="39" spans="1:31">
      <c r="A39" s="90" t="s">
        <v>3033</v>
      </c>
      <c r="B39" s="91">
        <v>2025</v>
      </c>
      <c r="C39" s="90" t="s">
        <v>612</v>
      </c>
      <c r="D39" s="90" t="s">
        <v>613</v>
      </c>
      <c r="E39" s="90" t="s">
        <v>1907</v>
      </c>
      <c r="F39" s="90" t="s">
        <v>3259</v>
      </c>
      <c r="G39" s="90" t="s">
        <v>3226</v>
      </c>
      <c r="H39" s="90" t="s">
        <v>3105</v>
      </c>
      <c r="I39" s="90" t="s">
        <v>57</v>
      </c>
      <c r="J39" s="92" t="s">
        <v>9</v>
      </c>
      <c r="K39" s="90" t="s">
        <v>17</v>
      </c>
      <c r="L39" s="92" t="s">
        <v>58</v>
      </c>
      <c r="M39" s="164">
        <f>'Parameters | Agora'!B400</f>
        <v>100</v>
      </c>
      <c r="N39" s="165" t="s">
        <v>59</v>
      </c>
      <c r="O39" s="176">
        <f>'Parameters | Agora'!B411</f>
        <v>0.35</v>
      </c>
      <c r="P39" s="177">
        <f>'Parameters | Agora'!B412</f>
        <v>0.2</v>
      </c>
      <c r="Q39" s="178">
        <v>1</v>
      </c>
      <c r="R39" s="179">
        <f>'Parameters | Agora'!B414</f>
        <v>1</v>
      </c>
      <c r="S39" s="180" t="s">
        <v>60</v>
      </c>
      <c r="T39" s="184">
        <f>'Parameters | Agora'!B413</f>
        <v>0.11600000000000001</v>
      </c>
      <c r="U39" s="182" t="s">
        <v>61</v>
      </c>
      <c r="V39" s="187">
        <f t="shared" si="7"/>
        <v>0.81200000000000006</v>
      </c>
      <c r="W39" s="186" t="str">
        <f t="shared" si="8"/>
        <v>DALY</v>
      </c>
      <c r="X39" s="192">
        <f>'Parameters | Agora'!$B$4/'Parameters | Agora'!$B$8</f>
        <v>55879.24</v>
      </c>
      <c r="Y39" s="190" t="str">
        <f t="shared" si="9"/>
        <v>EUR impact/DALY</v>
      </c>
      <c r="Z39" s="175">
        <f t="shared" si="10"/>
        <v>45373.942880000002</v>
      </c>
      <c r="AA39" s="192">
        <f>'Parameters | Agora'!$B$4/'Parameters | Agora'!$B$8</f>
        <v>55879.24</v>
      </c>
      <c r="AB39" s="190" t="str">
        <f t="shared" si="11"/>
        <v>EUR impact/DALY</v>
      </c>
      <c r="AC39" s="175">
        <f t="shared" si="12"/>
        <v>45373.942880000002</v>
      </c>
      <c r="AD39" s="410"/>
      <c r="AE39" s="175">
        <f t="shared" si="13"/>
        <v>0</v>
      </c>
    </row>
    <row r="40" spans="1:31">
      <c r="A40" s="90" t="s">
        <v>3033</v>
      </c>
      <c r="B40" s="91">
        <v>2025</v>
      </c>
      <c r="C40" s="90" t="s">
        <v>612</v>
      </c>
      <c r="D40" s="90" t="s">
        <v>613</v>
      </c>
      <c r="E40" s="90" t="s">
        <v>1907</v>
      </c>
      <c r="F40" s="90" t="s">
        <v>3259</v>
      </c>
      <c r="G40" s="90" t="s">
        <v>3227</v>
      </c>
      <c r="H40" s="90" t="s">
        <v>3105</v>
      </c>
      <c r="I40" s="90" t="s">
        <v>62</v>
      </c>
      <c r="J40" s="92" t="s">
        <v>8</v>
      </c>
      <c r="K40" s="90" t="s">
        <v>8</v>
      </c>
      <c r="L40" s="92" t="s">
        <v>58</v>
      </c>
      <c r="M40" s="164">
        <f>'Parameters | Agora'!B400</f>
        <v>100</v>
      </c>
      <c r="N40" s="165" t="s">
        <v>59</v>
      </c>
      <c r="O40" s="176">
        <f>'Parameters | Agora'!B421</f>
        <v>0.25</v>
      </c>
      <c r="P40" s="177">
        <v>1</v>
      </c>
      <c r="Q40" s="178">
        <v>1</v>
      </c>
      <c r="R40" s="179">
        <v>1</v>
      </c>
      <c r="S40" s="180" t="s">
        <v>60</v>
      </c>
      <c r="T40" s="184">
        <f>'Parameters | Agora'!B422</f>
        <v>16576</v>
      </c>
      <c r="U40" s="182" t="s">
        <v>3064</v>
      </c>
      <c r="V40" s="187">
        <f t="shared" si="7"/>
        <v>414400</v>
      </c>
      <c r="W40" s="186" t="str">
        <f t="shared" si="8"/>
        <v>EUR</v>
      </c>
      <c r="X40" s="192">
        <v>1</v>
      </c>
      <c r="Y40" s="190" t="str">
        <f t="shared" si="9"/>
        <v>EUR impact/EUR</v>
      </c>
      <c r="Z40" s="175">
        <f t="shared" si="10"/>
        <v>414400</v>
      </c>
      <c r="AA40" s="192">
        <f>INDEX('HUI 2023 | VI'!$H:$H,MATCH("ALB",'HUI 2023 | VI'!$B:$B,0))</f>
        <v>0.56911995207157595</v>
      </c>
      <c r="AB40" s="190" t="str">
        <f t="shared" si="11"/>
        <v>EUR impact/EUR</v>
      </c>
      <c r="AC40" s="175">
        <f t="shared" si="12"/>
        <v>235843.30813846109</v>
      </c>
      <c r="AD40" s="410"/>
      <c r="AE40" s="175">
        <f t="shared" si="13"/>
        <v>0</v>
      </c>
    </row>
    <row r="41" spans="1:31">
      <c r="A41" s="90" t="s">
        <v>3033</v>
      </c>
      <c r="B41" s="91">
        <v>2025</v>
      </c>
      <c r="C41" s="90" t="s">
        <v>612</v>
      </c>
      <c r="D41" s="90" t="s">
        <v>613</v>
      </c>
      <c r="E41" s="90" t="s">
        <v>1907</v>
      </c>
      <c r="F41" s="90" t="s">
        <v>3259</v>
      </c>
      <c r="G41" s="90" t="s">
        <v>3228</v>
      </c>
      <c r="H41" s="90" t="s">
        <v>3106</v>
      </c>
      <c r="I41" s="90" t="s">
        <v>67</v>
      </c>
      <c r="J41" s="92" t="s">
        <v>5</v>
      </c>
      <c r="K41" s="90" t="s">
        <v>10</v>
      </c>
      <c r="L41" s="92" t="s">
        <v>65</v>
      </c>
      <c r="M41" s="164">
        <f>'Parameters | Agora'!B400</f>
        <v>100</v>
      </c>
      <c r="N41" s="165" t="s">
        <v>59</v>
      </c>
      <c r="O41" s="176">
        <f>'Parameters | Agora'!B428</f>
        <v>0.2</v>
      </c>
      <c r="P41" s="177">
        <f>'Parameters | Agora'!B429</f>
        <v>0.4</v>
      </c>
      <c r="Q41" s="178">
        <v>1</v>
      </c>
      <c r="R41" s="179">
        <v>1</v>
      </c>
      <c r="S41" s="180" t="s">
        <v>60</v>
      </c>
      <c r="T41" s="184">
        <f>'Parameters | Agora'!B430</f>
        <v>23400</v>
      </c>
      <c r="U41" s="182" t="s">
        <v>3064</v>
      </c>
      <c r="V41" s="187">
        <f t="shared" si="7"/>
        <v>187200</v>
      </c>
      <c r="W41" s="186" t="str">
        <f t="shared" si="8"/>
        <v>EUR</v>
      </c>
      <c r="X41" s="192">
        <v>1</v>
      </c>
      <c r="Y41" s="190" t="str">
        <f t="shared" si="9"/>
        <v>EUR impact/EUR</v>
      </c>
      <c r="Z41" s="175">
        <f t="shared" si="10"/>
        <v>187200</v>
      </c>
      <c r="AA41" s="192">
        <f>INDEX('HUT 2023 | VI'!$G:$G,MATCH($D41,'HUT 2023 | VI'!$B:$B,0))</f>
        <v>2.354758421087829</v>
      </c>
      <c r="AB41" s="190" t="str">
        <f t="shared" si="11"/>
        <v>EUR impact/EUR</v>
      </c>
      <c r="AC41" s="175">
        <f t="shared" si="12"/>
        <v>440810.77642764157</v>
      </c>
      <c r="AD41" s="410"/>
      <c r="AE41" s="175">
        <f t="shared" si="13"/>
        <v>0</v>
      </c>
    </row>
    <row r="42" spans="1:31">
      <c r="A42" s="90" t="s">
        <v>3033</v>
      </c>
      <c r="B42" s="91">
        <v>2025</v>
      </c>
      <c r="C42" s="90" t="s">
        <v>612</v>
      </c>
      <c r="D42" s="90" t="s">
        <v>613</v>
      </c>
      <c r="E42" s="90" t="s">
        <v>1907</v>
      </c>
      <c r="F42" s="90" t="s">
        <v>3259</v>
      </c>
      <c r="G42" s="90" t="s">
        <v>3229</v>
      </c>
      <c r="H42" s="90" t="s">
        <v>3106</v>
      </c>
      <c r="I42" s="90" t="s">
        <v>67</v>
      </c>
      <c r="J42" s="92" t="s">
        <v>5</v>
      </c>
      <c r="K42" s="90" t="s">
        <v>10</v>
      </c>
      <c r="L42" s="92" t="s">
        <v>65</v>
      </c>
      <c r="M42" s="164">
        <f>'Parameters | Agora'!B400</f>
        <v>100</v>
      </c>
      <c r="N42" s="165" t="s">
        <v>59</v>
      </c>
      <c r="O42" s="176">
        <f>'Parameters | Agora'!B435</f>
        <v>0.3</v>
      </c>
      <c r="P42" s="177">
        <f>'Parameters | Agora'!B436</f>
        <v>0.35</v>
      </c>
      <c r="Q42" s="178">
        <v>1</v>
      </c>
      <c r="R42" s="179">
        <v>1</v>
      </c>
      <c r="S42" s="180" t="s">
        <v>60</v>
      </c>
      <c r="T42" s="184">
        <f>'Parameters | Agora'!B437</f>
        <v>15000</v>
      </c>
      <c r="U42" s="182" t="s">
        <v>3064</v>
      </c>
      <c r="V42" s="187">
        <f t="shared" si="7"/>
        <v>157500</v>
      </c>
      <c r="W42" s="186" t="str">
        <f t="shared" si="8"/>
        <v>EUR</v>
      </c>
      <c r="X42" s="192">
        <v>1</v>
      </c>
      <c r="Y42" s="190" t="str">
        <f t="shared" si="9"/>
        <v>EUR impact/EUR</v>
      </c>
      <c r="Z42" s="175">
        <f t="shared" si="10"/>
        <v>157500</v>
      </c>
      <c r="AA42" s="192">
        <f>INDEX('HUT 2023 | VI'!$G:$G,MATCH($D42,'HUT 2023 | VI'!$B:$B,0))</f>
        <v>2.354758421087829</v>
      </c>
      <c r="AB42" s="190" t="str">
        <f t="shared" si="11"/>
        <v>EUR impact/EUR</v>
      </c>
      <c r="AC42" s="175">
        <f t="shared" si="12"/>
        <v>370874.45132133306</v>
      </c>
      <c r="AD42" s="410"/>
      <c r="AE42" s="175">
        <f t="shared" si="13"/>
        <v>0</v>
      </c>
    </row>
    <row r="43" spans="1:31">
      <c r="A43" s="90" t="s">
        <v>3033</v>
      </c>
      <c r="B43" s="91">
        <v>2025</v>
      </c>
      <c r="C43" s="90" t="s">
        <v>612</v>
      </c>
      <c r="D43" s="90" t="s">
        <v>613</v>
      </c>
      <c r="E43" s="90" t="s">
        <v>1907</v>
      </c>
      <c r="F43" s="90" t="s">
        <v>3259</v>
      </c>
      <c r="G43" s="90" t="s">
        <v>3230</v>
      </c>
      <c r="H43" s="90" t="s">
        <v>3105</v>
      </c>
      <c r="I43" s="90" t="s">
        <v>57</v>
      </c>
      <c r="J43" s="92" t="s">
        <v>11</v>
      </c>
      <c r="K43" s="90" t="s">
        <v>17</v>
      </c>
      <c r="L43" s="92" t="s">
        <v>58</v>
      </c>
      <c r="M43" s="164">
        <f>'Parameters | Agora'!B400</f>
        <v>100</v>
      </c>
      <c r="N43" s="165" t="s">
        <v>59</v>
      </c>
      <c r="O43" s="176">
        <f>'Parameters | Agora'!B435*'Parameters | Agora'!B436</f>
        <v>0.105</v>
      </c>
      <c r="P43" s="177">
        <f>'Parameters | Agora'!B440</f>
        <v>0.8</v>
      </c>
      <c r="Q43" s="178">
        <v>1</v>
      </c>
      <c r="R43" s="179">
        <f>'Parameters | Agora'!B442</f>
        <v>1</v>
      </c>
      <c r="S43" s="180" t="s">
        <v>60</v>
      </c>
      <c r="T43" s="184">
        <f>'Parameters | Agora'!B441</f>
        <v>6.0999999999999999E-2</v>
      </c>
      <c r="U43" s="182" t="s">
        <v>61</v>
      </c>
      <c r="V43" s="187">
        <f>M43*O43*P43*Q43*R43*T43</f>
        <v>0.51239999999999997</v>
      </c>
      <c r="W43" s="186" t="str">
        <f t="shared" si="8"/>
        <v>DALY</v>
      </c>
      <c r="X43" s="192">
        <f>'Parameters | Agora'!$B$4/'Parameters | Agora'!$B$8</f>
        <v>55879.24</v>
      </c>
      <c r="Y43" s="190" t="str">
        <f t="shared" si="9"/>
        <v>EUR impact/DALY</v>
      </c>
      <c r="Z43" s="175">
        <f t="shared" si="10"/>
        <v>28632.522575999996</v>
      </c>
      <c r="AA43" s="192">
        <f>'Parameters | Agora'!$B$4/'Parameters | Agora'!$B$8</f>
        <v>55879.24</v>
      </c>
      <c r="AB43" s="190" t="str">
        <f t="shared" si="11"/>
        <v>EUR impact/DALY</v>
      </c>
      <c r="AC43" s="175">
        <f t="shared" si="12"/>
        <v>28632.522575999996</v>
      </c>
      <c r="AD43" s="410"/>
      <c r="AE43" s="175">
        <f t="shared" si="13"/>
        <v>0</v>
      </c>
    </row>
    <row r="44" spans="1:31">
      <c r="A44" s="90"/>
      <c r="B44" s="91"/>
      <c r="C44" s="90"/>
      <c r="D44" s="90"/>
      <c r="E44" s="90"/>
      <c r="F44" s="90"/>
      <c r="G44" s="90"/>
      <c r="H44" s="90"/>
      <c r="I44" s="90"/>
      <c r="J44" s="92"/>
      <c r="K44" s="90"/>
      <c r="L44" s="92"/>
      <c r="M44" s="164"/>
      <c r="N44" s="165"/>
      <c r="O44" s="176"/>
      <c r="P44" s="177"/>
      <c r="Q44" s="178"/>
      <c r="R44" s="179"/>
      <c r="S44" s="180"/>
      <c r="T44" s="184"/>
      <c r="U44" s="182"/>
      <c r="V44" s="187"/>
      <c r="W44" s="186"/>
      <c r="X44" s="192"/>
      <c r="Y44" s="190"/>
      <c r="Z44" s="175"/>
      <c r="AA44" s="192"/>
      <c r="AB44" s="190"/>
      <c r="AC44" s="175"/>
      <c r="AD44" s="410"/>
      <c r="AE44" s="175">
        <f t="shared" si="6"/>
        <v>0</v>
      </c>
    </row>
    <row r="45" spans="1:31">
      <c r="A45" s="90"/>
      <c r="B45" s="91"/>
      <c r="C45" s="90"/>
      <c r="D45" s="90"/>
      <c r="E45" s="90"/>
      <c r="F45" s="90"/>
      <c r="G45" s="90"/>
      <c r="H45" s="90"/>
      <c r="I45" s="90"/>
      <c r="J45" s="92"/>
      <c r="K45" s="90"/>
      <c r="L45" s="92"/>
      <c r="M45" s="164"/>
      <c r="N45" s="165"/>
      <c r="O45" s="176"/>
      <c r="P45" s="176"/>
      <c r="Q45" s="176"/>
      <c r="R45" s="179"/>
      <c r="S45" s="180"/>
      <c r="T45" s="183"/>
      <c r="U45" s="182"/>
      <c r="V45" s="187"/>
      <c r="W45" s="186"/>
      <c r="X45" s="191"/>
      <c r="Y45" s="190"/>
      <c r="Z45" s="175"/>
      <c r="AA45" s="191"/>
      <c r="AB45" s="190"/>
      <c r="AC45" s="175"/>
      <c r="AD45" s="410"/>
      <c r="AE45" s="175"/>
    </row>
    <row r="46" spans="1:31">
      <c r="A46" s="90"/>
      <c r="B46" s="91"/>
      <c r="C46" s="90"/>
      <c r="D46" s="90"/>
      <c r="E46" s="90"/>
      <c r="F46" s="90"/>
      <c r="G46" s="90"/>
      <c r="H46" s="90"/>
      <c r="I46" s="90"/>
      <c r="J46" s="90"/>
      <c r="K46" s="90"/>
      <c r="L46" s="92"/>
      <c r="M46" s="164"/>
      <c r="N46" s="165"/>
      <c r="O46" s="176"/>
      <c r="P46" s="176"/>
      <c r="Q46" s="176"/>
      <c r="R46" s="179"/>
      <c r="S46" s="180"/>
      <c r="T46" s="183"/>
      <c r="U46" s="182"/>
      <c r="V46" s="187"/>
      <c r="W46" s="186"/>
      <c r="X46" s="192"/>
      <c r="Y46" s="190"/>
      <c r="Z46" s="175"/>
      <c r="AA46" s="192"/>
      <c r="AB46" s="190"/>
      <c r="AC46" s="175"/>
      <c r="AD46" s="410"/>
      <c r="AE46" s="175"/>
    </row>
    <row r="47" spans="1:31">
      <c r="A47" s="90"/>
      <c r="B47" s="91"/>
      <c r="C47" s="90"/>
      <c r="D47" s="90"/>
      <c r="E47" s="90"/>
      <c r="F47" s="90"/>
      <c r="G47" s="90"/>
      <c r="H47" s="90"/>
      <c r="I47" s="90"/>
      <c r="J47" s="92"/>
      <c r="K47" s="90"/>
      <c r="L47" s="92"/>
      <c r="M47" s="164"/>
      <c r="N47" s="165"/>
      <c r="O47" s="176"/>
      <c r="P47" s="177"/>
      <c r="Q47" s="178"/>
      <c r="R47" s="179"/>
      <c r="S47" s="180"/>
      <c r="T47" s="184"/>
      <c r="U47" s="182"/>
      <c r="V47" s="187"/>
      <c r="W47" s="186"/>
      <c r="X47" s="192"/>
      <c r="Y47" s="190"/>
      <c r="Z47" s="175"/>
      <c r="AA47" s="192"/>
      <c r="AB47" s="190"/>
      <c r="AC47" s="175"/>
      <c r="AD47" s="410"/>
      <c r="AE47" s="175">
        <f>IF($L47="Business value",V47*X47,0)</f>
        <v>0</v>
      </c>
    </row>
    <row r="48" spans="1:31">
      <c r="A48" s="90"/>
      <c r="B48" s="91"/>
      <c r="C48" s="90"/>
      <c r="D48" s="90"/>
      <c r="E48" s="90"/>
      <c r="F48" s="90"/>
      <c r="G48" s="90"/>
      <c r="H48" s="90"/>
      <c r="I48" s="90"/>
      <c r="J48" s="92"/>
      <c r="K48" s="90"/>
      <c r="L48" s="92"/>
      <c r="M48" s="164"/>
      <c r="N48" s="165"/>
      <c r="O48" s="176"/>
      <c r="P48" s="177"/>
      <c r="Q48" s="178"/>
      <c r="R48" s="179"/>
      <c r="S48" s="180"/>
      <c r="T48" s="184"/>
      <c r="U48" s="182"/>
      <c r="V48" s="187"/>
      <c r="W48" s="186"/>
      <c r="X48" s="192"/>
      <c r="Y48" s="190"/>
      <c r="Z48" s="175"/>
      <c r="AA48" s="192"/>
      <c r="AB48" s="190"/>
      <c r="AC48" s="175"/>
      <c r="AD48" s="410"/>
      <c r="AE48" s="175">
        <f>IF($L48="Business value",V48*X48,0)</f>
        <v>0</v>
      </c>
    </row>
    <row r="49" spans="1:31">
      <c r="A49" s="90"/>
      <c r="B49" s="91"/>
      <c r="C49" s="90"/>
      <c r="D49" s="90"/>
      <c r="E49" s="90"/>
      <c r="F49" s="90"/>
      <c r="G49" s="90"/>
      <c r="H49" s="90"/>
      <c r="I49" s="90"/>
      <c r="J49" s="92"/>
      <c r="K49" s="90"/>
      <c r="L49" s="92"/>
      <c r="M49" s="164"/>
      <c r="N49" s="165"/>
      <c r="O49" s="176"/>
      <c r="P49" s="177"/>
      <c r="Q49" s="178"/>
      <c r="R49" s="179"/>
      <c r="S49" s="180"/>
      <c r="T49" s="184"/>
      <c r="U49" s="182"/>
      <c r="V49" s="187"/>
      <c r="W49" s="186"/>
      <c r="X49" s="192"/>
      <c r="Y49" s="190"/>
      <c r="Z49" s="175"/>
      <c r="AA49" s="192"/>
      <c r="AB49" s="190"/>
      <c r="AC49" s="175"/>
      <c r="AD49" s="410"/>
      <c r="AE49" s="175">
        <f>IF($L49="Business value",V49*X49,0)</f>
        <v>0</v>
      </c>
    </row>
    <row r="50" spans="1:31">
      <c r="A50" s="90"/>
      <c r="B50" s="91"/>
      <c r="C50" s="90"/>
      <c r="D50" s="90"/>
      <c r="E50" s="90"/>
      <c r="F50" s="90"/>
      <c r="G50" s="90"/>
      <c r="H50" s="90"/>
      <c r="I50" s="90"/>
      <c r="J50" s="92"/>
      <c r="K50" s="90"/>
      <c r="L50" s="92"/>
      <c r="M50" s="164"/>
      <c r="N50" s="165"/>
      <c r="O50" s="176"/>
      <c r="P50" s="177"/>
      <c r="Q50" s="178"/>
      <c r="R50" s="179"/>
      <c r="S50" s="180"/>
      <c r="T50" s="184"/>
      <c r="U50" s="182"/>
      <c r="V50" s="187"/>
      <c r="W50" s="186"/>
      <c r="X50" s="192"/>
      <c r="Y50" s="190"/>
      <c r="Z50" s="175"/>
      <c r="AA50" s="192"/>
      <c r="AB50" s="190"/>
      <c r="AC50" s="175"/>
      <c r="AD50" s="410"/>
      <c r="AE50" s="175">
        <f>IF($L50="Business value",V50*X50,0)</f>
        <v>0</v>
      </c>
    </row>
    <row r="51" spans="1:31">
      <c r="A51" s="90"/>
      <c r="B51" s="91"/>
      <c r="C51" s="90"/>
      <c r="D51" s="90"/>
      <c r="E51" s="90"/>
      <c r="F51" s="90"/>
      <c r="G51" s="90"/>
      <c r="H51" s="90"/>
      <c r="I51" s="90"/>
      <c r="J51" s="92"/>
      <c r="K51" s="90"/>
      <c r="L51" s="92"/>
      <c r="M51" s="164"/>
      <c r="N51" s="165"/>
      <c r="O51" s="176"/>
      <c r="P51" s="177"/>
      <c r="Q51" s="178"/>
      <c r="R51" s="179"/>
      <c r="S51" s="180"/>
      <c r="T51" s="184"/>
      <c r="U51" s="182"/>
      <c r="V51" s="188"/>
      <c r="W51" s="189"/>
      <c r="X51" s="192"/>
      <c r="Y51" s="190"/>
      <c r="Z51" s="175"/>
      <c r="AA51" s="192"/>
      <c r="AB51" s="190"/>
      <c r="AC51" s="175"/>
      <c r="AD51" s="410"/>
      <c r="AE51" s="175">
        <f>IF($L51="Business value",V51*X51,0)</f>
        <v>0</v>
      </c>
    </row>
    <row r="52" spans="1:31">
      <c r="A52" s="90"/>
      <c r="B52" s="91"/>
      <c r="C52" s="90"/>
      <c r="D52" s="90"/>
      <c r="E52" s="90"/>
      <c r="F52" s="90"/>
      <c r="G52" s="90"/>
      <c r="H52" s="90"/>
      <c r="I52" s="90"/>
      <c r="J52" s="92"/>
      <c r="K52" s="90"/>
      <c r="L52" s="92"/>
      <c r="M52" s="164"/>
      <c r="N52" s="165"/>
      <c r="O52" s="176"/>
      <c r="P52" s="177"/>
      <c r="Q52" s="178"/>
      <c r="R52" s="179"/>
      <c r="S52" s="180"/>
      <c r="T52" s="184"/>
      <c r="U52" s="182"/>
      <c r="V52" s="188"/>
      <c r="W52" s="189"/>
      <c r="X52" s="192"/>
      <c r="Y52" s="190"/>
      <c r="Z52" s="175"/>
      <c r="AA52" s="192"/>
      <c r="AB52" s="190"/>
      <c r="AC52" s="175"/>
      <c r="AD52" s="410"/>
      <c r="AE52" s="175">
        <f t="shared" ref="AE52:AE53" si="14">IF($L52="Business value",V52*X52,0)</f>
        <v>0</v>
      </c>
    </row>
    <row r="53" spans="1:31">
      <c r="A53" s="90"/>
      <c r="B53" s="91"/>
      <c r="C53" s="90"/>
      <c r="D53" s="90"/>
      <c r="E53" s="90"/>
      <c r="F53" s="90"/>
      <c r="G53" s="90"/>
      <c r="H53" s="90"/>
      <c r="I53" s="90"/>
      <c r="J53" s="92"/>
      <c r="K53" s="90"/>
      <c r="L53" s="92"/>
      <c r="M53" s="164"/>
      <c r="N53" s="165"/>
      <c r="O53" s="176"/>
      <c r="P53" s="177"/>
      <c r="Q53" s="178"/>
      <c r="R53" s="179"/>
      <c r="S53" s="180"/>
      <c r="T53" s="184"/>
      <c r="U53" s="182"/>
      <c r="V53" s="188"/>
      <c r="W53" s="189"/>
      <c r="X53" s="192"/>
      <c r="Y53" s="190"/>
      <c r="Z53" s="175"/>
      <c r="AA53" s="192"/>
      <c r="AB53" s="190"/>
      <c r="AC53" s="175"/>
      <c r="AD53" s="410"/>
      <c r="AE53" s="175">
        <f t="shared" si="14"/>
        <v>0</v>
      </c>
    </row>
    <row r="54" spans="1:31">
      <c r="A54" s="90"/>
      <c r="B54" s="91"/>
      <c r="C54" s="90"/>
      <c r="D54" s="90"/>
      <c r="E54" s="90"/>
      <c r="F54" s="90"/>
      <c r="G54" s="90"/>
      <c r="H54" s="90"/>
      <c r="I54" s="90"/>
      <c r="J54" s="92"/>
      <c r="K54" s="90"/>
      <c r="L54" s="92"/>
      <c r="M54" s="164"/>
      <c r="N54" s="165"/>
      <c r="O54" s="176"/>
      <c r="P54" s="177"/>
      <c r="Q54" s="178"/>
      <c r="R54" s="179"/>
      <c r="S54" s="180"/>
      <c r="T54" s="184"/>
      <c r="U54" s="182"/>
      <c r="V54" s="187"/>
      <c r="W54" s="186"/>
      <c r="X54" s="192"/>
      <c r="Y54" s="190"/>
      <c r="Z54" s="175"/>
      <c r="AA54" s="192"/>
      <c r="AB54" s="190"/>
      <c r="AC54" s="175"/>
      <c r="AD54" s="410"/>
      <c r="AE54" s="175">
        <f t="shared" ref="AE54:AE72" si="15">IF($L54="Business value",V54*X54,0)</f>
        <v>0</v>
      </c>
    </row>
    <row r="55" spans="1:31">
      <c r="A55" s="90"/>
      <c r="B55" s="91"/>
      <c r="C55" s="90"/>
      <c r="D55" s="90"/>
      <c r="E55" s="90"/>
      <c r="F55" s="90"/>
      <c r="G55" s="90"/>
      <c r="H55" s="90"/>
      <c r="I55" s="90"/>
      <c r="J55" s="92"/>
      <c r="K55" s="90"/>
      <c r="L55" s="92"/>
      <c r="M55" s="164"/>
      <c r="N55" s="165"/>
      <c r="O55" s="176"/>
      <c r="P55" s="177"/>
      <c r="Q55" s="178"/>
      <c r="R55" s="179"/>
      <c r="S55" s="180"/>
      <c r="T55" s="184"/>
      <c r="U55" s="182"/>
      <c r="V55" s="187"/>
      <c r="W55" s="186"/>
      <c r="X55" s="192"/>
      <c r="Y55" s="190"/>
      <c r="Z55" s="175"/>
      <c r="AA55" s="192"/>
      <c r="AB55" s="190"/>
      <c r="AC55" s="175"/>
      <c r="AD55" s="410"/>
      <c r="AE55" s="175">
        <f t="shared" si="15"/>
        <v>0</v>
      </c>
    </row>
    <row r="56" spans="1:31">
      <c r="A56" s="90"/>
      <c r="B56" s="91"/>
      <c r="C56" s="90"/>
      <c r="D56" s="90"/>
      <c r="E56" s="90"/>
      <c r="F56" s="90"/>
      <c r="G56" s="90"/>
      <c r="H56" s="90"/>
      <c r="I56" s="90"/>
      <c r="J56" s="92"/>
      <c r="K56" s="90"/>
      <c r="L56" s="92"/>
      <c r="M56" s="164"/>
      <c r="N56" s="165"/>
      <c r="O56" s="176"/>
      <c r="P56" s="177"/>
      <c r="Q56" s="178"/>
      <c r="R56" s="179"/>
      <c r="S56" s="180"/>
      <c r="T56" s="184"/>
      <c r="U56" s="182"/>
      <c r="V56" s="187"/>
      <c r="W56" s="186"/>
      <c r="X56" s="192"/>
      <c r="Y56" s="190"/>
      <c r="Z56" s="175"/>
      <c r="AA56" s="192"/>
      <c r="AB56" s="190"/>
      <c r="AC56" s="175"/>
      <c r="AD56" s="410"/>
      <c r="AE56" s="175">
        <f t="shared" si="15"/>
        <v>0</v>
      </c>
    </row>
    <row r="57" spans="1:31">
      <c r="A57" s="90"/>
      <c r="B57" s="91"/>
      <c r="C57" s="90"/>
      <c r="D57" s="90"/>
      <c r="E57" s="90"/>
      <c r="F57" s="90"/>
      <c r="G57" s="90"/>
      <c r="H57" s="90"/>
      <c r="I57" s="90"/>
      <c r="J57" s="92"/>
      <c r="K57" s="90"/>
      <c r="L57" s="92"/>
      <c r="M57" s="164"/>
      <c r="N57" s="165"/>
      <c r="O57" s="176"/>
      <c r="P57" s="177"/>
      <c r="Q57" s="178"/>
      <c r="R57" s="179"/>
      <c r="S57" s="180"/>
      <c r="T57" s="184"/>
      <c r="U57" s="182"/>
      <c r="V57" s="187"/>
      <c r="W57" s="186"/>
      <c r="X57" s="192"/>
      <c r="Y57" s="190"/>
      <c r="Z57" s="175"/>
      <c r="AA57" s="192"/>
      <c r="AB57" s="190"/>
      <c r="AC57" s="175"/>
      <c r="AD57" s="410"/>
      <c r="AE57" s="175">
        <f t="shared" si="15"/>
        <v>0</v>
      </c>
    </row>
    <row r="58" spans="1:31">
      <c r="A58" s="90"/>
      <c r="B58" s="91"/>
      <c r="C58" s="90"/>
      <c r="D58" s="90"/>
      <c r="E58" s="90"/>
      <c r="F58" s="90"/>
      <c r="G58" s="90"/>
      <c r="H58" s="90"/>
      <c r="I58" s="90"/>
      <c r="J58" s="92"/>
      <c r="K58" s="90"/>
      <c r="L58" s="92"/>
      <c r="M58" s="164"/>
      <c r="N58" s="165"/>
      <c r="O58" s="176"/>
      <c r="P58" s="177"/>
      <c r="Q58" s="178"/>
      <c r="R58" s="179"/>
      <c r="S58" s="180"/>
      <c r="T58" s="184"/>
      <c r="U58" s="182"/>
      <c r="V58" s="187"/>
      <c r="W58" s="186"/>
      <c r="X58" s="192"/>
      <c r="Y58" s="190"/>
      <c r="Z58" s="175"/>
      <c r="AA58" s="192"/>
      <c r="AB58" s="190"/>
      <c r="AC58" s="175"/>
      <c r="AD58" s="410"/>
      <c r="AE58" s="175">
        <f t="shared" si="15"/>
        <v>0</v>
      </c>
    </row>
    <row r="59" spans="1:31">
      <c r="A59" s="90"/>
      <c r="B59" s="91"/>
      <c r="C59" s="90"/>
      <c r="D59" s="90"/>
      <c r="E59" s="90"/>
      <c r="F59" s="90"/>
      <c r="G59" s="90"/>
      <c r="H59" s="90"/>
      <c r="I59" s="90"/>
      <c r="J59" s="92"/>
      <c r="K59" s="90"/>
      <c r="L59" s="92"/>
      <c r="M59" s="164"/>
      <c r="N59" s="165"/>
      <c r="O59" s="176"/>
      <c r="P59" s="177"/>
      <c r="Q59" s="178"/>
      <c r="R59" s="179"/>
      <c r="S59" s="180"/>
      <c r="T59" s="184"/>
      <c r="U59" s="182"/>
      <c r="V59" s="187"/>
      <c r="W59" s="186"/>
      <c r="X59" s="192"/>
      <c r="Y59" s="190"/>
      <c r="Z59" s="175"/>
      <c r="AA59" s="192"/>
      <c r="AB59" s="190"/>
      <c r="AC59" s="175"/>
      <c r="AD59" s="410"/>
      <c r="AE59" s="175">
        <f t="shared" si="15"/>
        <v>0</v>
      </c>
    </row>
    <row r="60" spans="1:31">
      <c r="A60" s="90"/>
      <c r="B60" s="91"/>
      <c r="C60" s="90"/>
      <c r="D60" s="90"/>
      <c r="E60" s="90"/>
      <c r="F60" s="90"/>
      <c r="G60" s="90"/>
      <c r="H60" s="90"/>
      <c r="I60" s="90"/>
      <c r="J60" s="92"/>
      <c r="K60" s="90"/>
      <c r="L60" s="92"/>
      <c r="M60" s="164"/>
      <c r="N60" s="165"/>
      <c r="O60" s="176"/>
      <c r="P60" s="177"/>
      <c r="Q60" s="178"/>
      <c r="R60" s="179"/>
      <c r="S60" s="180"/>
      <c r="T60" s="184"/>
      <c r="U60" s="182"/>
      <c r="V60" s="187"/>
      <c r="W60" s="186"/>
      <c r="X60" s="192"/>
      <c r="Y60" s="190"/>
      <c r="Z60" s="175"/>
      <c r="AA60" s="192"/>
      <c r="AB60" s="190"/>
      <c r="AC60" s="175"/>
      <c r="AD60" s="410"/>
      <c r="AE60" s="175">
        <f t="shared" si="15"/>
        <v>0</v>
      </c>
    </row>
    <row r="61" spans="1:31">
      <c r="A61" s="90"/>
      <c r="B61" s="91"/>
      <c r="C61" s="90"/>
      <c r="D61" s="90"/>
      <c r="E61" s="90"/>
      <c r="F61" s="90"/>
      <c r="G61" s="90"/>
      <c r="H61" s="90"/>
      <c r="I61" s="90"/>
      <c r="J61" s="92"/>
      <c r="K61" s="90"/>
      <c r="L61" s="92"/>
      <c r="M61" s="164"/>
      <c r="N61" s="165"/>
      <c r="O61" s="176"/>
      <c r="P61" s="177"/>
      <c r="Q61" s="178"/>
      <c r="R61" s="179"/>
      <c r="S61" s="180"/>
      <c r="T61" s="184"/>
      <c r="U61" s="182"/>
      <c r="V61" s="187"/>
      <c r="W61" s="186"/>
      <c r="X61" s="192"/>
      <c r="Y61" s="190"/>
      <c r="Z61" s="175"/>
      <c r="AA61" s="192"/>
      <c r="AB61" s="190"/>
      <c r="AC61" s="175"/>
      <c r="AD61" s="410"/>
      <c r="AE61" s="175">
        <f t="shared" si="15"/>
        <v>0</v>
      </c>
    </row>
    <row r="62" spans="1:31">
      <c r="A62" s="90"/>
      <c r="B62" s="91"/>
      <c r="C62" s="90"/>
      <c r="D62" s="90"/>
      <c r="E62" s="90"/>
      <c r="F62" s="90"/>
      <c r="G62" s="90"/>
      <c r="H62" s="90"/>
      <c r="I62" s="90"/>
      <c r="J62" s="92"/>
      <c r="K62" s="90"/>
      <c r="L62" s="92"/>
      <c r="M62" s="164"/>
      <c r="N62" s="165"/>
      <c r="O62" s="176"/>
      <c r="P62" s="177"/>
      <c r="Q62" s="178"/>
      <c r="R62" s="179"/>
      <c r="S62" s="180"/>
      <c r="T62" s="184"/>
      <c r="U62" s="182"/>
      <c r="V62" s="187"/>
      <c r="W62" s="186"/>
      <c r="X62" s="192"/>
      <c r="Y62" s="190"/>
      <c r="Z62" s="175"/>
      <c r="AA62" s="192"/>
      <c r="AB62" s="190"/>
      <c r="AC62" s="175"/>
      <c r="AD62" s="410"/>
      <c r="AE62" s="175">
        <f t="shared" si="15"/>
        <v>0</v>
      </c>
    </row>
    <row r="63" spans="1:31">
      <c r="A63" s="90"/>
      <c r="B63" s="91"/>
      <c r="C63" s="90"/>
      <c r="D63" s="90"/>
      <c r="E63" s="90"/>
      <c r="F63" s="90"/>
      <c r="G63" s="90"/>
      <c r="H63" s="90"/>
      <c r="I63" s="90"/>
      <c r="J63" s="92"/>
      <c r="K63" s="90"/>
      <c r="L63" s="92"/>
      <c r="M63" s="164"/>
      <c r="N63" s="165"/>
      <c r="O63" s="176"/>
      <c r="P63" s="177"/>
      <c r="Q63" s="178"/>
      <c r="R63" s="179"/>
      <c r="S63" s="180"/>
      <c r="T63" s="184"/>
      <c r="U63" s="182"/>
      <c r="V63" s="187"/>
      <c r="W63" s="186"/>
      <c r="X63" s="192"/>
      <c r="Y63" s="190"/>
      <c r="Z63" s="175"/>
      <c r="AA63" s="192"/>
      <c r="AB63" s="190"/>
      <c r="AC63" s="175"/>
      <c r="AD63" s="410"/>
      <c r="AE63" s="175">
        <f t="shared" si="15"/>
        <v>0</v>
      </c>
    </row>
    <row r="64" spans="1:31">
      <c r="A64" s="90"/>
      <c r="B64" s="91"/>
      <c r="C64" s="90"/>
      <c r="D64" s="90"/>
      <c r="E64" s="90"/>
      <c r="F64" s="90"/>
      <c r="G64" s="90"/>
      <c r="H64" s="90"/>
      <c r="I64" s="90"/>
      <c r="J64" s="92"/>
      <c r="K64" s="90"/>
      <c r="L64" s="92"/>
      <c r="M64" s="164"/>
      <c r="N64" s="165"/>
      <c r="O64" s="176"/>
      <c r="P64" s="177"/>
      <c r="Q64" s="178"/>
      <c r="R64" s="179"/>
      <c r="S64" s="180"/>
      <c r="T64" s="184"/>
      <c r="U64" s="182"/>
      <c r="V64" s="187"/>
      <c r="W64" s="186"/>
      <c r="X64" s="192"/>
      <c r="Y64" s="190"/>
      <c r="Z64" s="175"/>
      <c r="AA64" s="192"/>
      <c r="AB64" s="190"/>
      <c r="AC64" s="175"/>
      <c r="AD64" s="410"/>
      <c r="AE64" s="175">
        <f t="shared" si="15"/>
        <v>0</v>
      </c>
    </row>
    <row r="65" spans="1:31">
      <c r="A65" s="90"/>
      <c r="B65" s="91"/>
      <c r="C65" s="90"/>
      <c r="D65" s="90"/>
      <c r="E65" s="90"/>
      <c r="F65" s="90"/>
      <c r="G65" s="90"/>
      <c r="H65" s="90"/>
      <c r="I65" s="90"/>
      <c r="J65" s="92"/>
      <c r="K65" s="90"/>
      <c r="L65" s="92"/>
      <c r="M65" s="164"/>
      <c r="N65" s="165"/>
      <c r="O65" s="176"/>
      <c r="P65" s="177"/>
      <c r="Q65" s="178"/>
      <c r="R65" s="179"/>
      <c r="S65" s="180"/>
      <c r="T65" s="184"/>
      <c r="U65" s="182"/>
      <c r="V65" s="187"/>
      <c r="W65" s="186"/>
      <c r="X65" s="192"/>
      <c r="Y65" s="190"/>
      <c r="Z65" s="175"/>
      <c r="AA65" s="192"/>
      <c r="AB65" s="190"/>
      <c r="AC65" s="175"/>
      <c r="AD65" s="410"/>
      <c r="AE65" s="175">
        <f t="shared" si="15"/>
        <v>0</v>
      </c>
    </row>
    <row r="66" spans="1:31">
      <c r="A66" s="90"/>
      <c r="B66" s="91"/>
      <c r="C66" s="90"/>
      <c r="D66" s="90"/>
      <c r="E66" s="90"/>
      <c r="F66" s="90"/>
      <c r="G66" s="90"/>
      <c r="H66" s="90"/>
      <c r="I66" s="90"/>
      <c r="J66" s="92"/>
      <c r="K66" s="90"/>
      <c r="L66" s="92"/>
      <c r="M66" s="164"/>
      <c r="N66" s="165"/>
      <c r="O66" s="176"/>
      <c r="P66" s="177"/>
      <c r="Q66" s="178"/>
      <c r="R66" s="179"/>
      <c r="S66" s="180"/>
      <c r="T66" s="184"/>
      <c r="U66" s="182"/>
      <c r="V66" s="187"/>
      <c r="W66" s="186"/>
      <c r="X66" s="192"/>
      <c r="Y66" s="190"/>
      <c r="Z66" s="175"/>
      <c r="AA66" s="192"/>
      <c r="AB66" s="190"/>
      <c r="AC66" s="175"/>
      <c r="AD66" s="410"/>
      <c r="AE66" s="175">
        <f t="shared" si="15"/>
        <v>0</v>
      </c>
    </row>
    <row r="67" spans="1:31">
      <c r="A67" s="90"/>
      <c r="B67" s="91"/>
      <c r="C67" s="90"/>
      <c r="D67" s="90"/>
      <c r="E67" s="90"/>
      <c r="F67" s="90"/>
      <c r="G67" s="90"/>
      <c r="H67" s="90"/>
      <c r="I67" s="90"/>
      <c r="J67" s="92"/>
      <c r="K67" s="90"/>
      <c r="L67" s="92"/>
      <c r="M67" s="164"/>
      <c r="N67" s="165"/>
      <c r="O67" s="176"/>
      <c r="P67" s="177"/>
      <c r="Q67" s="178"/>
      <c r="R67" s="179"/>
      <c r="S67" s="180"/>
      <c r="T67" s="184"/>
      <c r="U67" s="182"/>
      <c r="V67" s="187"/>
      <c r="W67" s="186"/>
      <c r="X67" s="192"/>
      <c r="Y67" s="190"/>
      <c r="Z67" s="175"/>
      <c r="AA67" s="192"/>
      <c r="AB67" s="190"/>
      <c r="AC67" s="175"/>
      <c r="AD67" s="410"/>
      <c r="AE67" s="175">
        <f t="shared" si="15"/>
        <v>0</v>
      </c>
    </row>
    <row r="68" spans="1:31">
      <c r="A68" s="90"/>
      <c r="B68" s="91"/>
      <c r="C68" s="90"/>
      <c r="D68" s="90"/>
      <c r="E68" s="90"/>
      <c r="F68" s="90"/>
      <c r="G68" s="90"/>
      <c r="H68" s="90"/>
      <c r="I68" s="90"/>
      <c r="J68" s="92"/>
      <c r="K68" s="90"/>
      <c r="L68" s="92"/>
      <c r="M68" s="164"/>
      <c r="N68" s="165"/>
      <c r="O68" s="176"/>
      <c r="P68" s="177"/>
      <c r="Q68" s="178"/>
      <c r="R68" s="179"/>
      <c r="S68" s="180"/>
      <c r="T68" s="184"/>
      <c r="U68" s="182"/>
      <c r="V68" s="187"/>
      <c r="W68" s="186"/>
      <c r="X68" s="192"/>
      <c r="Y68" s="190"/>
      <c r="Z68" s="175"/>
      <c r="AA68" s="192"/>
      <c r="AB68" s="190"/>
      <c r="AC68" s="175"/>
      <c r="AD68" s="410"/>
      <c r="AE68" s="175">
        <f t="shared" si="15"/>
        <v>0</v>
      </c>
    </row>
    <row r="69" spans="1:31">
      <c r="A69" s="90"/>
      <c r="B69" s="91"/>
      <c r="C69" s="90"/>
      <c r="D69" s="90"/>
      <c r="E69" s="90"/>
      <c r="F69" s="90"/>
      <c r="G69" s="90"/>
      <c r="H69" s="90"/>
      <c r="I69" s="90"/>
      <c r="J69" s="92"/>
      <c r="K69" s="90"/>
      <c r="L69" s="92"/>
      <c r="M69" s="164"/>
      <c r="N69" s="165"/>
      <c r="O69" s="176"/>
      <c r="P69" s="177"/>
      <c r="Q69" s="178"/>
      <c r="R69" s="179"/>
      <c r="S69" s="180"/>
      <c r="T69" s="184"/>
      <c r="U69" s="182"/>
      <c r="V69" s="187"/>
      <c r="W69" s="186"/>
      <c r="X69" s="192"/>
      <c r="Y69" s="190"/>
      <c r="Z69" s="175"/>
      <c r="AA69" s="192"/>
      <c r="AB69" s="190"/>
      <c r="AC69" s="175"/>
      <c r="AD69" s="410"/>
      <c r="AE69" s="175">
        <f t="shared" si="15"/>
        <v>0</v>
      </c>
    </row>
    <row r="70" spans="1:31">
      <c r="A70" s="90"/>
      <c r="B70" s="91"/>
      <c r="C70" s="90"/>
      <c r="D70" s="90"/>
      <c r="E70" s="90"/>
      <c r="F70" s="90"/>
      <c r="G70" s="90"/>
      <c r="H70" s="90"/>
      <c r="I70" s="90"/>
      <c r="J70" s="92"/>
      <c r="K70" s="90"/>
      <c r="L70" s="92"/>
      <c r="M70" s="164"/>
      <c r="N70" s="165"/>
      <c r="O70" s="176"/>
      <c r="P70" s="177"/>
      <c r="Q70" s="178"/>
      <c r="R70" s="179"/>
      <c r="S70" s="180"/>
      <c r="T70" s="184"/>
      <c r="U70" s="182"/>
      <c r="V70" s="187"/>
      <c r="W70" s="186"/>
      <c r="X70" s="192"/>
      <c r="Y70" s="190"/>
      <c r="Z70" s="175"/>
      <c r="AA70" s="192"/>
      <c r="AB70" s="190"/>
      <c r="AC70" s="175"/>
      <c r="AD70" s="410"/>
      <c r="AE70" s="175">
        <f t="shared" si="15"/>
        <v>0</v>
      </c>
    </row>
    <row r="71" spans="1:31">
      <c r="A71" s="90"/>
      <c r="B71" s="91"/>
      <c r="C71" s="90"/>
      <c r="D71" s="90"/>
      <c r="E71" s="90"/>
      <c r="F71" s="90"/>
      <c r="G71" s="90"/>
      <c r="H71" s="90"/>
      <c r="I71" s="90"/>
      <c r="J71" s="92"/>
      <c r="K71" s="90"/>
      <c r="L71" s="92"/>
      <c r="M71" s="164"/>
      <c r="N71" s="165"/>
      <c r="O71" s="176"/>
      <c r="P71" s="177"/>
      <c r="Q71" s="178"/>
      <c r="R71" s="179"/>
      <c r="S71" s="180"/>
      <c r="T71" s="184"/>
      <c r="U71" s="182"/>
      <c r="V71" s="188"/>
      <c r="W71" s="189"/>
      <c r="X71" s="192"/>
      <c r="Y71" s="190"/>
      <c r="Z71" s="175"/>
      <c r="AA71" s="192"/>
      <c r="AB71" s="190"/>
      <c r="AC71" s="175"/>
      <c r="AD71" s="410"/>
      <c r="AE71" s="175">
        <f t="shared" si="15"/>
        <v>0</v>
      </c>
    </row>
    <row r="72" spans="1:31">
      <c r="A72" s="90"/>
      <c r="B72" s="91"/>
      <c r="C72" s="90"/>
      <c r="D72" s="90"/>
      <c r="E72" s="90"/>
      <c r="F72" s="90"/>
      <c r="G72" s="90"/>
      <c r="H72" s="90"/>
      <c r="I72" s="90"/>
      <c r="J72" s="92"/>
      <c r="K72" s="90"/>
      <c r="L72" s="92"/>
      <c r="M72" s="164"/>
      <c r="N72" s="165"/>
      <c r="O72" s="176"/>
      <c r="P72" s="177"/>
      <c r="Q72" s="178"/>
      <c r="R72" s="179"/>
      <c r="S72" s="180"/>
      <c r="T72" s="184"/>
      <c r="U72" s="182"/>
      <c r="V72" s="188"/>
      <c r="W72" s="189"/>
      <c r="X72" s="192"/>
      <c r="Y72" s="190"/>
      <c r="Z72" s="175"/>
      <c r="AA72" s="192"/>
      <c r="AB72" s="190"/>
      <c r="AC72" s="175"/>
      <c r="AD72" s="410"/>
      <c r="AE72" s="175">
        <f t="shared" si="15"/>
        <v>0</v>
      </c>
    </row>
    <row r="73" spans="1:31">
      <c r="A73" s="90"/>
      <c r="B73" s="91"/>
      <c r="C73" s="90"/>
      <c r="D73" s="90"/>
      <c r="E73" s="90"/>
      <c r="F73" s="90"/>
      <c r="G73" s="90"/>
      <c r="H73" s="90"/>
      <c r="I73" s="90"/>
      <c r="J73" s="92"/>
      <c r="K73" s="90"/>
      <c r="L73" s="92"/>
      <c r="M73" s="164"/>
      <c r="N73" s="165"/>
      <c r="O73" s="176"/>
      <c r="P73" s="177"/>
      <c r="Q73" s="178"/>
      <c r="R73" s="179"/>
      <c r="S73" s="180"/>
      <c r="T73" s="184"/>
      <c r="U73" s="182"/>
      <c r="V73" s="187"/>
      <c r="W73" s="186"/>
      <c r="X73" s="192"/>
      <c r="Y73" s="190"/>
      <c r="Z73" s="175"/>
      <c r="AA73" s="192"/>
      <c r="AB73" s="190"/>
      <c r="AC73" s="175"/>
      <c r="AD73" s="410"/>
      <c r="AE73" s="175">
        <f t="shared" ref="AE73:AE90" si="16">IF($L73="Business value",V73*X73,0)</f>
        <v>0</v>
      </c>
    </row>
    <row r="74" spans="1:31">
      <c r="A74" s="90"/>
      <c r="B74" s="91"/>
      <c r="C74" s="90"/>
      <c r="D74" s="90"/>
      <c r="E74" s="90"/>
      <c r="F74" s="90"/>
      <c r="G74" s="90"/>
      <c r="H74" s="90"/>
      <c r="I74" s="90"/>
      <c r="J74" s="92"/>
      <c r="K74" s="90"/>
      <c r="L74" s="92"/>
      <c r="M74" s="164"/>
      <c r="N74" s="165"/>
      <c r="O74" s="176"/>
      <c r="P74" s="177"/>
      <c r="Q74" s="178"/>
      <c r="R74" s="179"/>
      <c r="S74" s="180"/>
      <c r="T74" s="184"/>
      <c r="U74" s="182"/>
      <c r="V74" s="187"/>
      <c r="W74" s="186"/>
      <c r="X74" s="192"/>
      <c r="Y74" s="190"/>
      <c r="Z74" s="175"/>
      <c r="AA74" s="192"/>
      <c r="AB74" s="190"/>
      <c r="AC74" s="175"/>
      <c r="AD74" s="410"/>
      <c r="AE74" s="175">
        <f t="shared" si="16"/>
        <v>0</v>
      </c>
    </row>
    <row r="75" spans="1:31">
      <c r="A75" s="90"/>
      <c r="B75" s="91"/>
      <c r="C75" s="90"/>
      <c r="D75" s="90"/>
      <c r="E75" s="90"/>
      <c r="F75" s="90"/>
      <c r="G75" s="90"/>
      <c r="H75" s="90"/>
      <c r="I75" s="90"/>
      <c r="J75" s="92"/>
      <c r="K75" s="90"/>
      <c r="L75" s="92"/>
      <c r="M75" s="164"/>
      <c r="N75" s="165"/>
      <c r="O75" s="176"/>
      <c r="P75" s="177"/>
      <c r="Q75" s="178"/>
      <c r="R75" s="179"/>
      <c r="S75" s="180"/>
      <c r="T75" s="184"/>
      <c r="U75" s="182"/>
      <c r="V75" s="187"/>
      <c r="W75" s="186"/>
      <c r="X75" s="192"/>
      <c r="Y75" s="190"/>
      <c r="Z75" s="175"/>
      <c r="AA75" s="192"/>
      <c r="AB75" s="190"/>
      <c r="AC75" s="175"/>
      <c r="AD75" s="410"/>
      <c r="AE75" s="175">
        <f t="shared" si="16"/>
        <v>0</v>
      </c>
    </row>
    <row r="76" spans="1:31">
      <c r="A76" s="90"/>
      <c r="B76" s="91"/>
      <c r="C76" s="90"/>
      <c r="D76" s="90"/>
      <c r="E76" s="90"/>
      <c r="F76" s="90"/>
      <c r="G76" s="90"/>
      <c r="H76" s="90"/>
      <c r="I76" s="90"/>
      <c r="J76" s="92"/>
      <c r="K76" s="90"/>
      <c r="L76" s="92"/>
      <c r="M76" s="164"/>
      <c r="N76" s="165"/>
      <c r="O76" s="176"/>
      <c r="P76" s="177"/>
      <c r="Q76" s="178"/>
      <c r="R76" s="179"/>
      <c r="S76" s="180"/>
      <c r="T76" s="184"/>
      <c r="U76" s="182"/>
      <c r="V76" s="187"/>
      <c r="W76" s="186"/>
      <c r="X76" s="192"/>
      <c r="Y76" s="190"/>
      <c r="Z76" s="175"/>
      <c r="AA76" s="192"/>
      <c r="AB76" s="190"/>
      <c r="AC76" s="175"/>
      <c r="AD76" s="410"/>
      <c r="AE76" s="175">
        <f t="shared" si="16"/>
        <v>0</v>
      </c>
    </row>
    <row r="77" spans="1:31">
      <c r="A77" s="90"/>
      <c r="B77" s="91"/>
      <c r="C77" s="90"/>
      <c r="D77" s="90"/>
      <c r="E77" s="90"/>
      <c r="F77" s="90"/>
      <c r="G77" s="90"/>
      <c r="H77" s="90"/>
      <c r="I77" s="90"/>
      <c r="J77" s="92"/>
      <c r="K77" s="90"/>
      <c r="L77" s="92"/>
      <c r="M77" s="164"/>
      <c r="N77" s="165"/>
      <c r="O77" s="176"/>
      <c r="P77" s="177"/>
      <c r="Q77" s="178"/>
      <c r="R77" s="179"/>
      <c r="S77" s="180"/>
      <c r="T77" s="184"/>
      <c r="U77" s="182"/>
      <c r="V77" s="187"/>
      <c r="W77" s="186"/>
      <c r="X77" s="192"/>
      <c r="Y77" s="190"/>
      <c r="Z77" s="175"/>
      <c r="AA77" s="192"/>
      <c r="AB77" s="190"/>
      <c r="AC77" s="175"/>
      <c r="AD77" s="410"/>
      <c r="AE77" s="175">
        <f t="shared" si="16"/>
        <v>0</v>
      </c>
    </row>
    <row r="78" spans="1:31">
      <c r="A78" s="90"/>
      <c r="B78" s="91"/>
      <c r="C78" s="90"/>
      <c r="D78" s="90"/>
      <c r="E78" s="90"/>
      <c r="F78" s="90"/>
      <c r="G78" s="90"/>
      <c r="H78" s="90"/>
      <c r="I78" s="90"/>
      <c r="J78" s="92"/>
      <c r="K78" s="90"/>
      <c r="L78" s="92"/>
      <c r="M78" s="164"/>
      <c r="N78" s="165"/>
      <c r="O78" s="176"/>
      <c r="P78" s="177"/>
      <c r="Q78" s="178"/>
      <c r="R78" s="179"/>
      <c r="S78" s="180"/>
      <c r="T78" s="184"/>
      <c r="U78" s="182"/>
      <c r="V78" s="187"/>
      <c r="W78" s="186"/>
      <c r="X78" s="192"/>
      <c r="Y78" s="190"/>
      <c r="Z78" s="175"/>
      <c r="AA78" s="192"/>
      <c r="AB78" s="190"/>
      <c r="AC78" s="175"/>
      <c r="AD78" s="410"/>
      <c r="AE78" s="175">
        <f t="shared" si="16"/>
        <v>0</v>
      </c>
    </row>
    <row r="79" spans="1:31">
      <c r="A79" s="90"/>
      <c r="B79" s="91"/>
      <c r="C79" s="90"/>
      <c r="D79" s="90"/>
      <c r="E79" s="90"/>
      <c r="F79" s="90"/>
      <c r="G79" s="90"/>
      <c r="H79" s="90"/>
      <c r="I79" s="90"/>
      <c r="J79" s="92"/>
      <c r="K79" s="90"/>
      <c r="L79" s="92"/>
      <c r="M79" s="164"/>
      <c r="N79" s="165"/>
      <c r="O79" s="176"/>
      <c r="P79" s="177"/>
      <c r="Q79" s="178"/>
      <c r="R79" s="179"/>
      <c r="S79" s="180"/>
      <c r="T79" s="184"/>
      <c r="U79" s="182"/>
      <c r="V79" s="187"/>
      <c r="W79" s="186"/>
      <c r="X79" s="192"/>
      <c r="Y79" s="190"/>
      <c r="Z79" s="175"/>
      <c r="AA79" s="192"/>
      <c r="AB79" s="190"/>
      <c r="AC79" s="175"/>
      <c r="AD79" s="410"/>
      <c r="AE79" s="175">
        <f t="shared" si="16"/>
        <v>0</v>
      </c>
    </row>
    <row r="80" spans="1:31">
      <c r="A80" s="90"/>
      <c r="B80" s="91"/>
      <c r="C80" s="90"/>
      <c r="D80" s="90"/>
      <c r="E80" s="90"/>
      <c r="F80" s="90"/>
      <c r="G80" s="90"/>
      <c r="H80" s="90"/>
      <c r="I80" s="90"/>
      <c r="J80" s="92"/>
      <c r="K80" s="90"/>
      <c r="L80" s="92"/>
      <c r="M80" s="164"/>
      <c r="N80" s="165"/>
      <c r="O80" s="176"/>
      <c r="P80" s="177"/>
      <c r="Q80" s="178"/>
      <c r="R80" s="179"/>
      <c r="S80" s="180"/>
      <c r="T80" s="184"/>
      <c r="U80" s="182"/>
      <c r="V80" s="187"/>
      <c r="W80" s="186"/>
      <c r="X80" s="192"/>
      <c r="Y80" s="190"/>
      <c r="Z80" s="175"/>
      <c r="AA80" s="192"/>
      <c r="AB80" s="190"/>
      <c r="AC80" s="175"/>
      <c r="AD80" s="410"/>
      <c r="AE80" s="175">
        <f t="shared" si="16"/>
        <v>0</v>
      </c>
    </row>
    <row r="81" spans="1:31">
      <c r="A81" s="90"/>
      <c r="B81" s="91"/>
      <c r="C81" s="90"/>
      <c r="D81" s="90"/>
      <c r="E81" s="90"/>
      <c r="F81" s="90"/>
      <c r="G81" s="90"/>
      <c r="H81" s="90"/>
      <c r="I81" s="90"/>
      <c r="J81" s="92"/>
      <c r="K81" s="90"/>
      <c r="L81" s="92"/>
      <c r="M81" s="164"/>
      <c r="N81" s="165"/>
      <c r="O81" s="176"/>
      <c r="P81" s="177"/>
      <c r="Q81" s="178"/>
      <c r="R81" s="179"/>
      <c r="S81" s="180"/>
      <c r="T81" s="184"/>
      <c r="U81" s="182"/>
      <c r="V81" s="187"/>
      <c r="W81" s="186"/>
      <c r="X81" s="192"/>
      <c r="Y81" s="190"/>
      <c r="Z81" s="175"/>
      <c r="AA81" s="192"/>
      <c r="AB81" s="190"/>
      <c r="AC81" s="175"/>
      <c r="AD81" s="410"/>
      <c r="AE81" s="175">
        <f t="shared" si="16"/>
        <v>0</v>
      </c>
    </row>
    <row r="82" spans="1:31">
      <c r="A82" s="90"/>
      <c r="B82" s="91"/>
      <c r="C82" s="90"/>
      <c r="D82" s="90"/>
      <c r="E82" s="90"/>
      <c r="F82" s="90"/>
      <c r="G82" s="90"/>
      <c r="H82" s="90"/>
      <c r="I82" s="90"/>
      <c r="J82" s="92"/>
      <c r="K82" s="90"/>
      <c r="L82" s="92"/>
      <c r="M82" s="164"/>
      <c r="N82" s="165"/>
      <c r="O82" s="176"/>
      <c r="P82" s="177"/>
      <c r="Q82" s="178"/>
      <c r="R82" s="179"/>
      <c r="S82" s="180"/>
      <c r="T82" s="184"/>
      <c r="U82" s="182"/>
      <c r="V82" s="187"/>
      <c r="W82" s="186"/>
      <c r="X82" s="192"/>
      <c r="Y82" s="190"/>
      <c r="Z82" s="175"/>
      <c r="AA82" s="192"/>
      <c r="AB82" s="190"/>
      <c r="AC82" s="175"/>
      <c r="AD82" s="410"/>
      <c r="AE82" s="175">
        <f t="shared" si="16"/>
        <v>0</v>
      </c>
    </row>
    <row r="83" spans="1:31">
      <c r="A83" s="90"/>
      <c r="B83" s="91"/>
      <c r="C83" s="90"/>
      <c r="D83" s="90"/>
      <c r="E83" s="90"/>
      <c r="F83" s="90"/>
      <c r="G83" s="90"/>
      <c r="H83" s="90"/>
      <c r="I83" s="90"/>
      <c r="J83" s="92"/>
      <c r="K83" s="90"/>
      <c r="L83" s="92"/>
      <c r="M83" s="164"/>
      <c r="N83" s="165"/>
      <c r="O83" s="176"/>
      <c r="P83" s="177"/>
      <c r="Q83" s="178"/>
      <c r="R83" s="179"/>
      <c r="S83" s="180"/>
      <c r="T83" s="184"/>
      <c r="U83" s="182"/>
      <c r="V83" s="187"/>
      <c r="W83" s="186"/>
      <c r="X83" s="192"/>
      <c r="Y83" s="190"/>
      <c r="Z83" s="175"/>
      <c r="AA83" s="192"/>
      <c r="AB83" s="190"/>
      <c r="AC83" s="175"/>
      <c r="AD83" s="410"/>
      <c r="AE83" s="175">
        <f t="shared" si="16"/>
        <v>0</v>
      </c>
    </row>
    <row r="84" spans="1:31">
      <c r="A84" s="90"/>
      <c r="B84" s="91"/>
      <c r="C84" s="90"/>
      <c r="D84" s="90"/>
      <c r="E84" s="90"/>
      <c r="F84" s="90"/>
      <c r="G84" s="90"/>
      <c r="H84" s="90"/>
      <c r="I84" s="90"/>
      <c r="J84" s="92"/>
      <c r="K84" s="90"/>
      <c r="L84" s="92"/>
      <c r="M84" s="164"/>
      <c r="N84" s="165"/>
      <c r="O84" s="176"/>
      <c r="P84" s="177"/>
      <c r="Q84" s="178"/>
      <c r="R84" s="179"/>
      <c r="S84" s="180"/>
      <c r="T84" s="184"/>
      <c r="U84" s="182"/>
      <c r="V84" s="187"/>
      <c r="W84" s="186"/>
      <c r="X84" s="192"/>
      <c r="Y84" s="190"/>
      <c r="Z84" s="175"/>
      <c r="AA84" s="192"/>
      <c r="AB84" s="190"/>
      <c r="AC84" s="175"/>
      <c r="AD84" s="410"/>
      <c r="AE84" s="175">
        <f t="shared" si="16"/>
        <v>0</v>
      </c>
    </row>
    <row r="85" spans="1:31">
      <c r="A85" s="90"/>
      <c r="B85" s="91"/>
      <c r="C85" s="90"/>
      <c r="D85" s="90"/>
      <c r="E85" s="90"/>
      <c r="F85" s="90"/>
      <c r="G85" s="90"/>
      <c r="H85" s="90"/>
      <c r="I85" s="90"/>
      <c r="J85" s="92"/>
      <c r="K85" s="90"/>
      <c r="L85" s="92"/>
      <c r="M85" s="164"/>
      <c r="N85" s="165"/>
      <c r="O85" s="176"/>
      <c r="P85" s="177"/>
      <c r="Q85" s="178"/>
      <c r="R85" s="179"/>
      <c r="S85" s="180"/>
      <c r="T85" s="184"/>
      <c r="U85" s="182"/>
      <c r="V85" s="187"/>
      <c r="W85" s="186"/>
      <c r="X85" s="192"/>
      <c r="Y85" s="190"/>
      <c r="Z85" s="175"/>
      <c r="AA85" s="192"/>
      <c r="AB85" s="190"/>
      <c r="AC85" s="175"/>
      <c r="AD85" s="410"/>
      <c r="AE85" s="175">
        <f t="shared" si="16"/>
        <v>0</v>
      </c>
    </row>
    <row r="86" spans="1:31">
      <c r="A86" s="90"/>
      <c r="B86" s="91"/>
      <c r="C86" s="90"/>
      <c r="D86" s="90"/>
      <c r="E86" s="90"/>
      <c r="F86" s="90"/>
      <c r="G86" s="90"/>
      <c r="H86" s="90"/>
      <c r="I86" s="90"/>
      <c r="J86" s="92"/>
      <c r="K86" s="90"/>
      <c r="L86" s="92"/>
      <c r="M86" s="164"/>
      <c r="N86" s="165"/>
      <c r="O86" s="176"/>
      <c r="P86" s="177"/>
      <c r="Q86" s="178"/>
      <c r="R86" s="179"/>
      <c r="S86" s="180"/>
      <c r="T86" s="184"/>
      <c r="U86" s="182"/>
      <c r="V86" s="187"/>
      <c r="W86" s="186"/>
      <c r="X86" s="192"/>
      <c r="Y86" s="190"/>
      <c r="Z86" s="175"/>
      <c r="AA86" s="192"/>
      <c r="AB86" s="190"/>
      <c r="AC86" s="175"/>
      <c r="AD86" s="410"/>
      <c r="AE86" s="175">
        <f t="shared" si="16"/>
        <v>0</v>
      </c>
    </row>
    <row r="87" spans="1:31">
      <c r="A87" s="90"/>
      <c r="B87" s="91"/>
      <c r="C87" s="90"/>
      <c r="D87" s="90"/>
      <c r="E87" s="90"/>
      <c r="F87" s="90"/>
      <c r="G87" s="90"/>
      <c r="H87" s="90"/>
      <c r="I87" s="90"/>
      <c r="J87" s="92"/>
      <c r="K87" s="90"/>
      <c r="L87" s="92"/>
      <c r="M87" s="164"/>
      <c r="N87" s="165"/>
      <c r="O87" s="176"/>
      <c r="P87" s="177"/>
      <c r="Q87" s="178"/>
      <c r="R87" s="179"/>
      <c r="S87" s="180"/>
      <c r="T87" s="184"/>
      <c r="U87" s="182"/>
      <c r="V87" s="187"/>
      <c r="W87" s="186"/>
      <c r="X87" s="192"/>
      <c r="Y87" s="190"/>
      <c r="Z87" s="175"/>
      <c r="AA87" s="192"/>
      <c r="AB87" s="190"/>
      <c r="AC87" s="175"/>
      <c r="AD87" s="410"/>
      <c r="AE87" s="175">
        <f t="shared" si="16"/>
        <v>0</v>
      </c>
    </row>
    <row r="88" spans="1:31">
      <c r="A88" s="90"/>
      <c r="B88" s="91"/>
      <c r="C88" s="90"/>
      <c r="D88" s="90"/>
      <c r="E88" s="90"/>
      <c r="F88" s="90"/>
      <c r="G88" s="90"/>
      <c r="H88" s="90"/>
      <c r="I88" s="90"/>
      <c r="J88" s="92"/>
      <c r="K88" s="90"/>
      <c r="L88" s="92"/>
      <c r="M88" s="164"/>
      <c r="N88" s="165"/>
      <c r="O88" s="176"/>
      <c r="P88" s="177"/>
      <c r="Q88" s="178"/>
      <c r="R88" s="179"/>
      <c r="S88" s="180"/>
      <c r="T88" s="184"/>
      <c r="U88" s="182"/>
      <c r="V88" s="187"/>
      <c r="W88" s="186"/>
      <c r="X88" s="192"/>
      <c r="Y88" s="190"/>
      <c r="Z88" s="175"/>
      <c r="AA88" s="192"/>
      <c r="AB88" s="190"/>
      <c r="AC88" s="175"/>
      <c r="AD88" s="410"/>
      <c r="AE88" s="175">
        <f t="shared" si="16"/>
        <v>0</v>
      </c>
    </row>
    <row r="89" spans="1:31">
      <c r="A89" s="90"/>
      <c r="B89" s="91"/>
      <c r="C89" s="90"/>
      <c r="D89" s="90"/>
      <c r="E89" s="90"/>
      <c r="F89" s="90"/>
      <c r="G89" s="90"/>
      <c r="H89" s="90"/>
      <c r="I89" s="90"/>
      <c r="J89" s="92"/>
      <c r="K89" s="90"/>
      <c r="L89" s="92"/>
      <c r="M89" s="164"/>
      <c r="N89" s="165"/>
      <c r="O89" s="176"/>
      <c r="P89" s="177"/>
      <c r="Q89" s="178"/>
      <c r="R89" s="179"/>
      <c r="S89" s="180"/>
      <c r="T89" s="184"/>
      <c r="U89" s="182"/>
      <c r="V89" s="187"/>
      <c r="W89" s="186"/>
      <c r="X89" s="192"/>
      <c r="Y89" s="190"/>
      <c r="Z89" s="175"/>
      <c r="AA89" s="192"/>
      <c r="AB89" s="190"/>
      <c r="AC89" s="175"/>
      <c r="AD89" s="410"/>
      <c r="AE89" s="175">
        <f t="shared" si="16"/>
        <v>0</v>
      </c>
    </row>
    <row r="90" spans="1:31">
      <c r="A90" s="90"/>
      <c r="B90" s="91"/>
      <c r="C90" s="90"/>
      <c r="D90" s="90"/>
      <c r="E90" s="90"/>
      <c r="F90" s="90"/>
      <c r="G90" s="90"/>
      <c r="H90" s="90"/>
      <c r="I90" s="90"/>
      <c r="J90" s="92"/>
      <c r="K90" s="90"/>
      <c r="L90" s="92"/>
      <c r="M90" s="164"/>
      <c r="N90" s="165"/>
      <c r="O90" s="176"/>
      <c r="P90" s="177"/>
      <c r="Q90" s="178"/>
      <c r="R90" s="179"/>
      <c r="S90" s="180"/>
      <c r="T90" s="184"/>
      <c r="U90" s="182"/>
      <c r="V90" s="188"/>
      <c r="W90" s="189"/>
      <c r="X90" s="192"/>
      <c r="Y90" s="190"/>
      <c r="Z90" s="175"/>
      <c r="AA90" s="192"/>
      <c r="AB90" s="190"/>
      <c r="AC90" s="175"/>
      <c r="AD90" s="410"/>
      <c r="AE90" s="175">
        <f t="shared" si="16"/>
        <v>0</v>
      </c>
    </row>
    <row r="91" spans="1:31">
      <c r="A91" s="90"/>
      <c r="B91" s="91"/>
      <c r="C91" s="90"/>
      <c r="D91" s="90"/>
      <c r="E91" s="90"/>
      <c r="F91" s="90"/>
      <c r="G91" s="90"/>
      <c r="H91" s="90"/>
      <c r="I91" s="90"/>
      <c r="J91" s="92"/>
      <c r="K91" s="90"/>
      <c r="L91" s="92"/>
      <c r="M91" s="164"/>
      <c r="N91" s="165"/>
      <c r="O91" s="176"/>
      <c r="P91" s="177"/>
      <c r="Q91" s="178"/>
      <c r="R91" s="179"/>
      <c r="S91" s="180"/>
      <c r="T91" s="184"/>
      <c r="U91" s="182"/>
      <c r="V91" s="187"/>
      <c r="W91" s="186"/>
      <c r="X91" s="192"/>
      <c r="Y91" s="190"/>
      <c r="Z91" s="175"/>
      <c r="AA91" s="192"/>
      <c r="AB91" s="190"/>
      <c r="AC91" s="175"/>
      <c r="AD91" s="410"/>
      <c r="AE91" s="175">
        <f t="shared" ref="AE91:AE108" si="17">IF($L91="Business value",V91*X91,0)</f>
        <v>0</v>
      </c>
    </row>
    <row r="92" spans="1:31">
      <c r="A92" s="90"/>
      <c r="B92" s="91"/>
      <c r="C92" s="90"/>
      <c r="D92" s="90"/>
      <c r="E92" s="90"/>
      <c r="F92" s="90"/>
      <c r="G92" s="90"/>
      <c r="H92" s="90"/>
      <c r="I92" s="90"/>
      <c r="J92" s="92"/>
      <c r="K92" s="90"/>
      <c r="L92" s="92"/>
      <c r="M92" s="164"/>
      <c r="N92" s="165"/>
      <c r="O92" s="176"/>
      <c r="P92" s="177"/>
      <c r="Q92" s="178"/>
      <c r="R92" s="179"/>
      <c r="S92" s="180"/>
      <c r="T92" s="184"/>
      <c r="U92" s="182"/>
      <c r="V92" s="187"/>
      <c r="W92" s="186"/>
      <c r="X92" s="192"/>
      <c r="Y92" s="190"/>
      <c r="Z92" s="175"/>
      <c r="AA92" s="192"/>
      <c r="AB92" s="190"/>
      <c r="AC92" s="175"/>
      <c r="AD92" s="410"/>
      <c r="AE92" s="175">
        <f t="shared" si="17"/>
        <v>0</v>
      </c>
    </row>
    <row r="93" spans="1:31">
      <c r="A93" s="90"/>
      <c r="B93" s="91"/>
      <c r="C93" s="90"/>
      <c r="D93" s="90"/>
      <c r="E93" s="90"/>
      <c r="F93" s="90"/>
      <c r="G93" s="90"/>
      <c r="H93" s="90"/>
      <c r="I93" s="90"/>
      <c r="J93" s="92"/>
      <c r="K93" s="90"/>
      <c r="L93" s="92"/>
      <c r="M93" s="164"/>
      <c r="N93" s="165"/>
      <c r="O93" s="176"/>
      <c r="P93" s="177"/>
      <c r="Q93" s="178"/>
      <c r="R93" s="179"/>
      <c r="S93" s="180"/>
      <c r="T93" s="184"/>
      <c r="U93" s="182"/>
      <c r="V93" s="187"/>
      <c r="W93" s="186"/>
      <c r="X93" s="192"/>
      <c r="Y93" s="190"/>
      <c r="Z93" s="175"/>
      <c r="AA93" s="192"/>
      <c r="AB93" s="190"/>
      <c r="AC93" s="175"/>
      <c r="AD93" s="410"/>
      <c r="AE93" s="175">
        <f t="shared" si="17"/>
        <v>0</v>
      </c>
    </row>
    <row r="94" spans="1:31">
      <c r="A94" s="90"/>
      <c r="B94" s="91"/>
      <c r="C94" s="90"/>
      <c r="D94" s="90"/>
      <c r="E94" s="90"/>
      <c r="F94" s="90"/>
      <c r="G94" s="90"/>
      <c r="H94" s="90"/>
      <c r="I94" s="90"/>
      <c r="J94" s="92"/>
      <c r="K94" s="90"/>
      <c r="L94" s="92"/>
      <c r="M94" s="164"/>
      <c r="N94" s="165"/>
      <c r="O94" s="176"/>
      <c r="P94" s="177"/>
      <c r="Q94" s="178"/>
      <c r="R94" s="179"/>
      <c r="S94" s="180"/>
      <c r="T94" s="184"/>
      <c r="U94" s="182"/>
      <c r="V94" s="187"/>
      <c r="W94" s="186"/>
      <c r="X94" s="192"/>
      <c r="Y94" s="190"/>
      <c r="Z94" s="175"/>
      <c r="AA94" s="192"/>
      <c r="AB94" s="190"/>
      <c r="AC94" s="175"/>
      <c r="AD94" s="410"/>
      <c r="AE94" s="175">
        <f t="shared" si="17"/>
        <v>0</v>
      </c>
    </row>
    <row r="95" spans="1:31">
      <c r="A95" s="90"/>
      <c r="B95" s="91"/>
      <c r="C95" s="90"/>
      <c r="D95" s="90"/>
      <c r="E95" s="90"/>
      <c r="F95" s="90"/>
      <c r="G95" s="90"/>
      <c r="H95" s="90"/>
      <c r="I95" s="90"/>
      <c r="J95" s="92"/>
      <c r="K95" s="90"/>
      <c r="L95" s="92"/>
      <c r="M95" s="164"/>
      <c r="N95" s="165"/>
      <c r="O95" s="176"/>
      <c r="P95" s="177"/>
      <c r="Q95" s="178"/>
      <c r="R95" s="179"/>
      <c r="S95" s="180"/>
      <c r="T95" s="184"/>
      <c r="U95" s="182"/>
      <c r="V95" s="187"/>
      <c r="W95" s="186"/>
      <c r="X95" s="192"/>
      <c r="Y95" s="190"/>
      <c r="Z95" s="175"/>
      <c r="AA95" s="192"/>
      <c r="AB95" s="190"/>
      <c r="AC95" s="175"/>
      <c r="AD95" s="410"/>
      <c r="AE95" s="175">
        <f t="shared" si="17"/>
        <v>0</v>
      </c>
    </row>
    <row r="96" spans="1:31">
      <c r="A96" s="90"/>
      <c r="B96" s="91"/>
      <c r="C96" s="90"/>
      <c r="D96" s="90"/>
      <c r="E96" s="90"/>
      <c r="F96" s="90"/>
      <c r="G96" s="90"/>
      <c r="H96" s="90"/>
      <c r="I96" s="90"/>
      <c r="J96" s="92"/>
      <c r="K96" s="90"/>
      <c r="L96" s="92"/>
      <c r="M96" s="164"/>
      <c r="N96" s="165"/>
      <c r="O96" s="176"/>
      <c r="P96" s="177"/>
      <c r="Q96" s="178"/>
      <c r="R96" s="179"/>
      <c r="S96" s="180"/>
      <c r="T96" s="184"/>
      <c r="U96" s="182"/>
      <c r="V96" s="187"/>
      <c r="W96" s="186"/>
      <c r="X96" s="192"/>
      <c r="Y96" s="190"/>
      <c r="Z96" s="175"/>
      <c r="AA96" s="192"/>
      <c r="AB96" s="190"/>
      <c r="AC96" s="175"/>
      <c r="AD96" s="410"/>
      <c r="AE96" s="175">
        <f t="shared" si="17"/>
        <v>0</v>
      </c>
    </row>
    <row r="97" spans="1:31">
      <c r="A97" s="90"/>
      <c r="B97" s="91"/>
      <c r="C97" s="90"/>
      <c r="D97" s="90"/>
      <c r="E97" s="90"/>
      <c r="F97" s="90"/>
      <c r="G97" s="90"/>
      <c r="H97" s="90"/>
      <c r="I97" s="90"/>
      <c r="J97" s="92"/>
      <c r="K97" s="90"/>
      <c r="L97" s="92"/>
      <c r="M97" s="164"/>
      <c r="N97" s="165"/>
      <c r="O97" s="176"/>
      <c r="P97" s="177"/>
      <c r="Q97" s="178"/>
      <c r="R97" s="179"/>
      <c r="S97" s="180"/>
      <c r="T97" s="184"/>
      <c r="U97" s="182"/>
      <c r="V97" s="187"/>
      <c r="W97" s="186"/>
      <c r="X97" s="192"/>
      <c r="Y97" s="190"/>
      <c r="Z97" s="175"/>
      <c r="AA97" s="192"/>
      <c r="AB97" s="190"/>
      <c r="AC97" s="175"/>
      <c r="AD97" s="410"/>
      <c r="AE97" s="175">
        <f t="shared" si="17"/>
        <v>0</v>
      </c>
    </row>
    <row r="98" spans="1:31">
      <c r="A98" s="90"/>
      <c r="B98" s="91"/>
      <c r="C98" s="90"/>
      <c r="D98" s="90"/>
      <c r="E98" s="90"/>
      <c r="F98" s="90"/>
      <c r="G98" s="90"/>
      <c r="H98" s="90"/>
      <c r="I98" s="90"/>
      <c r="J98" s="92"/>
      <c r="K98" s="90"/>
      <c r="L98" s="92"/>
      <c r="M98" s="164"/>
      <c r="N98" s="165"/>
      <c r="O98" s="176"/>
      <c r="P98" s="177"/>
      <c r="Q98" s="178"/>
      <c r="R98" s="179"/>
      <c r="S98" s="180"/>
      <c r="T98" s="184"/>
      <c r="U98" s="182"/>
      <c r="V98" s="187"/>
      <c r="W98" s="186"/>
      <c r="X98" s="192"/>
      <c r="Y98" s="190"/>
      <c r="Z98" s="175"/>
      <c r="AA98" s="192"/>
      <c r="AB98" s="190"/>
      <c r="AC98" s="175"/>
      <c r="AD98" s="410"/>
      <c r="AE98" s="175">
        <f t="shared" si="17"/>
        <v>0</v>
      </c>
    </row>
    <row r="99" spans="1:31">
      <c r="A99" s="90"/>
      <c r="B99" s="91"/>
      <c r="C99" s="90"/>
      <c r="D99" s="90"/>
      <c r="E99" s="90"/>
      <c r="F99" s="90"/>
      <c r="G99" s="90"/>
      <c r="H99" s="90"/>
      <c r="I99" s="90"/>
      <c r="J99" s="92"/>
      <c r="K99" s="90"/>
      <c r="L99" s="92"/>
      <c r="M99" s="164"/>
      <c r="N99" s="165"/>
      <c r="O99" s="176"/>
      <c r="P99" s="177"/>
      <c r="Q99" s="178"/>
      <c r="R99" s="179"/>
      <c r="S99" s="180"/>
      <c r="T99" s="184"/>
      <c r="U99" s="182"/>
      <c r="V99" s="187"/>
      <c r="W99" s="186"/>
      <c r="X99" s="192"/>
      <c r="Y99" s="190"/>
      <c r="Z99" s="175"/>
      <c r="AA99" s="192"/>
      <c r="AB99" s="190"/>
      <c r="AC99" s="175"/>
      <c r="AD99" s="410"/>
      <c r="AE99" s="175">
        <f t="shared" si="17"/>
        <v>0</v>
      </c>
    </row>
    <row r="100" spans="1:31">
      <c r="A100" s="90"/>
      <c r="B100" s="91"/>
      <c r="C100" s="90"/>
      <c r="D100" s="90"/>
      <c r="E100" s="90"/>
      <c r="F100" s="90"/>
      <c r="G100" s="90"/>
      <c r="H100" s="90"/>
      <c r="I100" s="90"/>
      <c r="J100" s="92"/>
      <c r="K100" s="90"/>
      <c r="L100" s="92"/>
      <c r="M100" s="164"/>
      <c r="N100" s="165"/>
      <c r="O100" s="176"/>
      <c r="P100" s="177"/>
      <c r="Q100" s="178"/>
      <c r="R100" s="179"/>
      <c r="S100" s="180"/>
      <c r="T100" s="184"/>
      <c r="U100" s="182"/>
      <c r="V100" s="187"/>
      <c r="W100" s="186"/>
      <c r="X100" s="192"/>
      <c r="Y100" s="190"/>
      <c r="Z100" s="175"/>
      <c r="AA100" s="192"/>
      <c r="AB100" s="190"/>
      <c r="AC100" s="175"/>
      <c r="AD100" s="410"/>
      <c r="AE100" s="175">
        <f t="shared" si="17"/>
        <v>0</v>
      </c>
    </row>
    <row r="101" spans="1:31">
      <c r="A101" s="90"/>
      <c r="B101" s="91"/>
      <c r="C101" s="90"/>
      <c r="D101" s="90"/>
      <c r="E101" s="90"/>
      <c r="F101" s="90"/>
      <c r="G101" s="90"/>
      <c r="H101" s="90"/>
      <c r="I101" s="90"/>
      <c r="J101" s="92"/>
      <c r="K101" s="90"/>
      <c r="L101" s="92"/>
      <c r="M101" s="164"/>
      <c r="N101" s="165"/>
      <c r="O101" s="176"/>
      <c r="P101" s="177"/>
      <c r="Q101" s="178"/>
      <c r="R101" s="179"/>
      <c r="S101" s="180"/>
      <c r="T101" s="184"/>
      <c r="U101" s="182"/>
      <c r="V101" s="187"/>
      <c r="W101" s="186"/>
      <c r="X101" s="192"/>
      <c r="Y101" s="190"/>
      <c r="Z101" s="175"/>
      <c r="AA101" s="192"/>
      <c r="AB101" s="190"/>
      <c r="AC101" s="175"/>
      <c r="AD101" s="410"/>
      <c r="AE101" s="175">
        <f t="shared" si="17"/>
        <v>0</v>
      </c>
    </row>
    <row r="102" spans="1:31">
      <c r="A102" s="90"/>
      <c r="B102" s="91"/>
      <c r="C102" s="90"/>
      <c r="D102" s="90"/>
      <c r="E102" s="90"/>
      <c r="F102" s="90"/>
      <c r="G102" s="90"/>
      <c r="H102" s="90"/>
      <c r="I102" s="90"/>
      <c r="J102" s="92"/>
      <c r="K102" s="90"/>
      <c r="L102" s="92"/>
      <c r="M102" s="164"/>
      <c r="N102" s="165"/>
      <c r="O102" s="176"/>
      <c r="P102" s="177"/>
      <c r="Q102" s="178"/>
      <c r="R102" s="179"/>
      <c r="S102" s="180"/>
      <c r="T102" s="184"/>
      <c r="U102" s="182"/>
      <c r="V102" s="187"/>
      <c r="W102" s="186"/>
      <c r="X102" s="192"/>
      <c r="Y102" s="190"/>
      <c r="Z102" s="175"/>
      <c r="AA102" s="192"/>
      <c r="AB102" s="190"/>
      <c r="AC102" s="175"/>
      <c r="AD102" s="410"/>
      <c r="AE102" s="175">
        <f t="shared" si="17"/>
        <v>0</v>
      </c>
    </row>
    <row r="103" spans="1:31">
      <c r="A103" s="90"/>
      <c r="B103" s="91"/>
      <c r="C103" s="90"/>
      <c r="D103" s="90"/>
      <c r="E103" s="90"/>
      <c r="F103" s="90"/>
      <c r="G103" s="90"/>
      <c r="H103" s="90"/>
      <c r="I103" s="90"/>
      <c r="J103" s="92"/>
      <c r="K103" s="90"/>
      <c r="L103" s="92"/>
      <c r="M103" s="164"/>
      <c r="N103" s="165"/>
      <c r="O103" s="176"/>
      <c r="P103" s="177"/>
      <c r="Q103" s="178"/>
      <c r="R103" s="179"/>
      <c r="S103" s="180"/>
      <c r="T103" s="184"/>
      <c r="U103" s="182"/>
      <c r="V103" s="187"/>
      <c r="W103" s="186"/>
      <c r="X103" s="192"/>
      <c r="Y103" s="190"/>
      <c r="Z103" s="175"/>
      <c r="AA103" s="192"/>
      <c r="AB103" s="190"/>
      <c r="AC103" s="175"/>
      <c r="AD103" s="410"/>
      <c r="AE103" s="175">
        <f t="shared" si="17"/>
        <v>0</v>
      </c>
    </row>
    <row r="104" spans="1:31">
      <c r="A104" s="90"/>
      <c r="B104" s="91"/>
      <c r="C104" s="90"/>
      <c r="D104" s="90"/>
      <c r="E104" s="90"/>
      <c r="F104" s="90"/>
      <c r="G104" s="90"/>
      <c r="H104" s="90"/>
      <c r="I104" s="90"/>
      <c r="J104" s="92"/>
      <c r="K104" s="90"/>
      <c r="L104" s="92"/>
      <c r="M104" s="164"/>
      <c r="N104" s="165"/>
      <c r="O104" s="176"/>
      <c r="P104" s="177"/>
      <c r="Q104" s="178"/>
      <c r="R104" s="179"/>
      <c r="S104" s="180"/>
      <c r="T104" s="184"/>
      <c r="U104" s="182"/>
      <c r="V104" s="187"/>
      <c r="W104" s="186"/>
      <c r="X104" s="192"/>
      <c r="Y104" s="190"/>
      <c r="Z104" s="175"/>
      <c r="AA104" s="192"/>
      <c r="AB104" s="190"/>
      <c r="AC104" s="175"/>
      <c r="AD104" s="410"/>
      <c r="AE104" s="175">
        <f t="shared" si="17"/>
        <v>0</v>
      </c>
    </row>
    <row r="105" spans="1:31">
      <c r="A105" s="90"/>
      <c r="B105" s="91"/>
      <c r="C105" s="90"/>
      <c r="D105" s="90"/>
      <c r="E105" s="90"/>
      <c r="F105" s="90"/>
      <c r="G105" s="90"/>
      <c r="H105" s="90"/>
      <c r="I105" s="90"/>
      <c r="J105" s="92"/>
      <c r="K105" s="90"/>
      <c r="L105" s="92"/>
      <c r="M105" s="164"/>
      <c r="N105" s="165"/>
      <c r="O105" s="176"/>
      <c r="P105" s="177"/>
      <c r="Q105" s="178"/>
      <c r="R105" s="179"/>
      <c r="S105" s="180"/>
      <c r="T105" s="184"/>
      <c r="U105" s="182"/>
      <c r="V105" s="187"/>
      <c r="W105" s="186"/>
      <c r="X105" s="192"/>
      <c r="Y105" s="190"/>
      <c r="Z105" s="175"/>
      <c r="AA105" s="192"/>
      <c r="AB105" s="190"/>
      <c r="AC105" s="175"/>
      <c r="AD105" s="410"/>
      <c r="AE105" s="175">
        <f t="shared" si="17"/>
        <v>0</v>
      </c>
    </row>
    <row r="106" spans="1:31">
      <c r="A106" s="90"/>
      <c r="B106" s="91"/>
      <c r="C106" s="90"/>
      <c r="D106" s="90"/>
      <c r="E106" s="90"/>
      <c r="F106" s="90"/>
      <c r="G106" s="90"/>
      <c r="H106" s="90"/>
      <c r="I106" s="90"/>
      <c r="J106" s="92"/>
      <c r="K106" s="90"/>
      <c r="L106" s="92"/>
      <c r="M106" s="164"/>
      <c r="N106" s="165"/>
      <c r="O106" s="176"/>
      <c r="P106" s="177"/>
      <c r="Q106" s="178"/>
      <c r="R106" s="179"/>
      <c r="S106" s="180"/>
      <c r="T106" s="184"/>
      <c r="U106" s="182"/>
      <c r="V106" s="187"/>
      <c r="W106" s="186"/>
      <c r="X106" s="192"/>
      <c r="Y106" s="190"/>
      <c r="Z106" s="175"/>
      <c r="AA106" s="192"/>
      <c r="AB106" s="190"/>
      <c r="AC106" s="175"/>
      <c r="AD106" s="410"/>
      <c r="AE106" s="175">
        <f t="shared" si="17"/>
        <v>0</v>
      </c>
    </row>
    <row r="107" spans="1:31">
      <c r="A107" s="90"/>
      <c r="B107" s="91"/>
      <c r="C107" s="90"/>
      <c r="D107" s="90"/>
      <c r="E107" s="90"/>
      <c r="F107" s="90"/>
      <c r="G107" s="90"/>
      <c r="H107" s="90"/>
      <c r="I107" s="90"/>
      <c r="J107" s="92"/>
      <c r="K107" s="90"/>
      <c r="L107" s="92"/>
      <c r="M107" s="164"/>
      <c r="N107" s="165"/>
      <c r="O107" s="176"/>
      <c r="P107" s="177"/>
      <c r="Q107" s="178"/>
      <c r="R107" s="179"/>
      <c r="S107" s="180"/>
      <c r="T107" s="184"/>
      <c r="U107" s="182"/>
      <c r="V107" s="187"/>
      <c r="W107" s="186"/>
      <c r="X107" s="192"/>
      <c r="Y107" s="190"/>
      <c r="Z107" s="175"/>
      <c r="AA107" s="192"/>
      <c r="AB107" s="190"/>
      <c r="AC107" s="175"/>
      <c r="AD107" s="410"/>
      <c r="AE107" s="175">
        <f t="shared" si="17"/>
        <v>0</v>
      </c>
    </row>
    <row r="108" spans="1:31">
      <c r="A108" s="90"/>
      <c r="B108" s="91"/>
      <c r="C108" s="90"/>
      <c r="D108" s="90"/>
      <c r="E108" s="90"/>
      <c r="F108" s="90"/>
      <c r="G108" s="90"/>
      <c r="H108" s="90"/>
      <c r="I108" s="90"/>
      <c r="J108" s="92"/>
      <c r="K108" s="90"/>
      <c r="L108" s="92"/>
      <c r="M108" s="164"/>
      <c r="N108" s="165"/>
      <c r="O108" s="176"/>
      <c r="P108" s="177"/>
      <c r="Q108" s="178"/>
      <c r="R108" s="179"/>
      <c r="S108" s="180"/>
      <c r="T108" s="184"/>
      <c r="U108" s="182"/>
      <c r="V108" s="188"/>
      <c r="W108" s="189"/>
      <c r="X108" s="192"/>
      <c r="Y108" s="190"/>
      <c r="Z108" s="175"/>
      <c r="AA108" s="192"/>
      <c r="AB108" s="190"/>
      <c r="AC108" s="175"/>
      <c r="AD108" s="410"/>
      <c r="AE108" s="175">
        <f t="shared" si="17"/>
        <v>0</v>
      </c>
    </row>
    <row r="109" spans="1:31">
      <c r="A109" s="90"/>
      <c r="B109" s="91"/>
      <c r="C109" s="90"/>
      <c r="D109" s="90"/>
      <c r="E109" s="90"/>
      <c r="F109" s="90"/>
      <c r="G109" s="90"/>
      <c r="H109" s="90"/>
      <c r="I109" s="90"/>
      <c r="J109" s="92"/>
      <c r="K109" s="90"/>
      <c r="L109" s="92"/>
      <c r="M109" s="164"/>
      <c r="N109" s="165"/>
      <c r="O109" s="176"/>
      <c r="P109" s="177"/>
      <c r="Q109" s="178"/>
      <c r="R109" s="179"/>
      <c r="S109" s="180"/>
      <c r="T109" s="184"/>
      <c r="U109" s="182"/>
      <c r="V109" s="187"/>
      <c r="W109" s="186"/>
      <c r="X109" s="192"/>
      <c r="Y109" s="190"/>
      <c r="Z109" s="175"/>
      <c r="AA109" s="192"/>
      <c r="AB109" s="190"/>
      <c r="AC109" s="175"/>
      <c r="AD109" s="410"/>
      <c r="AE109" s="175">
        <f t="shared" ref="AE109:AE126" si="18">IF($L109="Business value",V109*X109,0)</f>
        <v>0</v>
      </c>
    </row>
    <row r="110" spans="1:31">
      <c r="A110" s="90"/>
      <c r="B110" s="91"/>
      <c r="C110" s="90"/>
      <c r="D110" s="90"/>
      <c r="E110" s="90"/>
      <c r="F110" s="90"/>
      <c r="G110" s="90"/>
      <c r="H110" s="90"/>
      <c r="I110" s="90"/>
      <c r="J110" s="92"/>
      <c r="K110" s="90"/>
      <c r="L110" s="92"/>
      <c r="M110" s="164"/>
      <c r="N110" s="165"/>
      <c r="O110" s="176"/>
      <c r="P110" s="177"/>
      <c r="Q110" s="178"/>
      <c r="R110" s="179"/>
      <c r="S110" s="180"/>
      <c r="T110" s="184"/>
      <c r="U110" s="182"/>
      <c r="V110" s="187"/>
      <c r="W110" s="186"/>
      <c r="X110" s="192"/>
      <c r="Y110" s="190"/>
      <c r="Z110" s="175"/>
      <c r="AA110" s="192"/>
      <c r="AB110" s="190"/>
      <c r="AC110" s="175"/>
      <c r="AD110" s="410"/>
      <c r="AE110" s="175">
        <f t="shared" si="18"/>
        <v>0</v>
      </c>
    </row>
    <row r="111" spans="1:31">
      <c r="A111" s="90"/>
      <c r="B111" s="91"/>
      <c r="C111" s="90"/>
      <c r="D111" s="90"/>
      <c r="E111" s="90"/>
      <c r="F111" s="90"/>
      <c r="G111" s="90"/>
      <c r="H111" s="90"/>
      <c r="I111" s="90"/>
      <c r="J111" s="92"/>
      <c r="K111" s="90"/>
      <c r="L111" s="92"/>
      <c r="M111" s="164"/>
      <c r="N111" s="165"/>
      <c r="O111" s="176"/>
      <c r="P111" s="177"/>
      <c r="Q111" s="178"/>
      <c r="R111" s="179"/>
      <c r="S111" s="180"/>
      <c r="T111" s="184"/>
      <c r="U111" s="182"/>
      <c r="V111" s="187"/>
      <c r="W111" s="186"/>
      <c r="X111" s="192"/>
      <c r="Y111" s="190"/>
      <c r="Z111" s="175"/>
      <c r="AA111" s="192"/>
      <c r="AB111" s="190"/>
      <c r="AC111" s="175"/>
      <c r="AD111" s="410"/>
      <c r="AE111" s="175">
        <f t="shared" si="18"/>
        <v>0</v>
      </c>
    </row>
    <row r="112" spans="1:31">
      <c r="A112" s="90"/>
      <c r="B112" s="91"/>
      <c r="C112" s="90"/>
      <c r="D112" s="90"/>
      <c r="E112" s="90"/>
      <c r="F112" s="90"/>
      <c r="G112" s="90"/>
      <c r="H112" s="90"/>
      <c r="I112" s="90"/>
      <c r="J112" s="92"/>
      <c r="K112" s="90"/>
      <c r="L112" s="92"/>
      <c r="M112" s="164"/>
      <c r="N112" s="165"/>
      <c r="O112" s="176"/>
      <c r="P112" s="177"/>
      <c r="Q112" s="178"/>
      <c r="R112" s="179"/>
      <c r="S112" s="180"/>
      <c r="T112" s="184"/>
      <c r="U112" s="182"/>
      <c r="V112" s="187"/>
      <c r="W112" s="186"/>
      <c r="X112" s="192"/>
      <c r="Y112" s="190"/>
      <c r="Z112" s="175"/>
      <c r="AA112" s="192"/>
      <c r="AB112" s="190"/>
      <c r="AC112" s="175"/>
      <c r="AD112" s="410"/>
      <c r="AE112" s="175">
        <f t="shared" si="18"/>
        <v>0</v>
      </c>
    </row>
    <row r="113" spans="1:31">
      <c r="A113" s="90"/>
      <c r="B113" s="91"/>
      <c r="C113" s="90"/>
      <c r="D113" s="90"/>
      <c r="E113" s="90"/>
      <c r="F113" s="90"/>
      <c r="G113" s="90"/>
      <c r="H113" s="90"/>
      <c r="I113" s="90"/>
      <c r="J113" s="92"/>
      <c r="K113" s="90"/>
      <c r="L113" s="92"/>
      <c r="M113" s="164"/>
      <c r="N113" s="165"/>
      <c r="O113" s="176"/>
      <c r="P113" s="177"/>
      <c r="Q113" s="178"/>
      <c r="R113" s="179"/>
      <c r="S113" s="180"/>
      <c r="T113" s="184"/>
      <c r="U113" s="182"/>
      <c r="V113" s="187"/>
      <c r="W113" s="186"/>
      <c r="X113" s="192"/>
      <c r="Y113" s="190"/>
      <c r="Z113" s="175"/>
      <c r="AA113" s="192"/>
      <c r="AB113" s="190"/>
      <c r="AC113" s="175"/>
      <c r="AD113" s="410"/>
      <c r="AE113" s="175">
        <f t="shared" si="18"/>
        <v>0</v>
      </c>
    </row>
    <row r="114" spans="1:31">
      <c r="A114" s="90"/>
      <c r="B114" s="91"/>
      <c r="C114" s="90"/>
      <c r="D114" s="90"/>
      <c r="E114" s="90"/>
      <c r="F114" s="90"/>
      <c r="G114" s="90"/>
      <c r="H114" s="90"/>
      <c r="I114" s="90"/>
      <c r="J114" s="92"/>
      <c r="K114" s="90"/>
      <c r="L114" s="92"/>
      <c r="M114" s="164"/>
      <c r="N114" s="165"/>
      <c r="O114" s="176"/>
      <c r="P114" s="177"/>
      <c r="Q114" s="178"/>
      <c r="R114" s="179"/>
      <c r="S114" s="180"/>
      <c r="T114" s="184"/>
      <c r="U114" s="182"/>
      <c r="V114" s="187"/>
      <c r="W114" s="186"/>
      <c r="X114" s="192"/>
      <c r="Y114" s="190"/>
      <c r="Z114" s="175"/>
      <c r="AA114" s="192"/>
      <c r="AB114" s="190"/>
      <c r="AC114" s="175"/>
      <c r="AD114" s="410"/>
      <c r="AE114" s="175">
        <f t="shared" si="18"/>
        <v>0</v>
      </c>
    </row>
    <row r="115" spans="1:31">
      <c r="A115" s="90"/>
      <c r="B115" s="91"/>
      <c r="C115" s="90"/>
      <c r="D115" s="90"/>
      <c r="E115" s="90"/>
      <c r="F115" s="90"/>
      <c r="G115" s="90"/>
      <c r="H115" s="90"/>
      <c r="I115" s="90"/>
      <c r="J115" s="92"/>
      <c r="K115" s="90"/>
      <c r="L115" s="92"/>
      <c r="M115" s="164"/>
      <c r="N115" s="165"/>
      <c r="O115" s="176"/>
      <c r="P115" s="177"/>
      <c r="Q115" s="178"/>
      <c r="R115" s="179"/>
      <c r="S115" s="180"/>
      <c r="T115" s="184"/>
      <c r="U115" s="182"/>
      <c r="V115" s="187"/>
      <c r="W115" s="186"/>
      <c r="X115" s="192"/>
      <c r="Y115" s="190"/>
      <c r="Z115" s="175"/>
      <c r="AA115" s="192"/>
      <c r="AB115" s="190"/>
      <c r="AC115" s="175"/>
      <c r="AD115" s="410"/>
      <c r="AE115" s="175">
        <f t="shared" si="18"/>
        <v>0</v>
      </c>
    </row>
    <row r="116" spans="1:31">
      <c r="A116" s="90"/>
      <c r="B116" s="91"/>
      <c r="C116" s="90"/>
      <c r="D116" s="90"/>
      <c r="E116" s="90"/>
      <c r="F116" s="90"/>
      <c r="G116" s="90"/>
      <c r="H116" s="90"/>
      <c r="I116" s="90"/>
      <c r="J116" s="92"/>
      <c r="K116" s="90"/>
      <c r="L116" s="92"/>
      <c r="M116" s="164"/>
      <c r="N116" s="165"/>
      <c r="O116" s="176"/>
      <c r="P116" s="177"/>
      <c r="Q116" s="178"/>
      <c r="R116" s="179"/>
      <c r="S116" s="180"/>
      <c r="T116" s="184"/>
      <c r="U116" s="182"/>
      <c r="V116" s="187"/>
      <c r="W116" s="186"/>
      <c r="X116" s="192"/>
      <c r="Y116" s="190"/>
      <c r="Z116" s="175"/>
      <c r="AA116" s="192"/>
      <c r="AB116" s="190"/>
      <c r="AC116" s="175"/>
      <c r="AD116" s="410"/>
      <c r="AE116" s="175">
        <f t="shared" si="18"/>
        <v>0</v>
      </c>
    </row>
    <row r="117" spans="1:31">
      <c r="A117" s="90"/>
      <c r="B117" s="91"/>
      <c r="C117" s="90"/>
      <c r="D117" s="90"/>
      <c r="E117" s="90"/>
      <c r="F117" s="90"/>
      <c r="G117" s="90"/>
      <c r="H117" s="90"/>
      <c r="I117" s="90"/>
      <c r="J117" s="92"/>
      <c r="K117" s="90"/>
      <c r="L117" s="92"/>
      <c r="M117" s="164"/>
      <c r="N117" s="165"/>
      <c r="O117" s="176"/>
      <c r="P117" s="177"/>
      <c r="Q117" s="178"/>
      <c r="R117" s="179"/>
      <c r="S117" s="180"/>
      <c r="T117" s="184"/>
      <c r="U117" s="182"/>
      <c r="V117" s="187"/>
      <c r="W117" s="186"/>
      <c r="X117" s="192"/>
      <c r="Y117" s="190"/>
      <c r="Z117" s="175"/>
      <c r="AA117" s="192"/>
      <c r="AB117" s="190"/>
      <c r="AC117" s="175"/>
      <c r="AD117" s="410"/>
      <c r="AE117" s="175">
        <f t="shared" si="18"/>
        <v>0</v>
      </c>
    </row>
    <row r="118" spans="1:31">
      <c r="A118" s="90"/>
      <c r="B118" s="91"/>
      <c r="C118" s="90"/>
      <c r="D118" s="90"/>
      <c r="E118" s="90"/>
      <c r="F118" s="90"/>
      <c r="G118" s="90"/>
      <c r="H118" s="90"/>
      <c r="I118" s="90"/>
      <c r="J118" s="92"/>
      <c r="K118" s="90"/>
      <c r="L118" s="92"/>
      <c r="M118" s="164"/>
      <c r="N118" s="165"/>
      <c r="O118" s="176"/>
      <c r="P118" s="177"/>
      <c r="Q118" s="178"/>
      <c r="R118" s="179"/>
      <c r="S118" s="180"/>
      <c r="T118" s="184"/>
      <c r="U118" s="182"/>
      <c r="V118" s="187"/>
      <c r="W118" s="186"/>
      <c r="X118" s="192"/>
      <c r="Y118" s="190"/>
      <c r="Z118" s="175"/>
      <c r="AA118" s="192"/>
      <c r="AB118" s="190"/>
      <c r="AC118" s="175"/>
      <c r="AD118" s="410"/>
      <c r="AE118" s="175">
        <f t="shared" si="18"/>
        <v>0</v>
      </c>
    </row>
    <row r="119" spans="1:31">
      <c r="A119" s="90"/>
      <c r="B119" s="91"/>
      <c r="C119" s="90"/>
      <c r="D119" s="90"/>
      <c r="E119" s="90"/>
      <c r="F119" s="90"/>
      <c r="G119" s="90"/>
      <c r="H119" s="90"/>
      <c r="I119" s="90"/>
      <c r="J119" s="92"/>
      <c r="K119" s="90"/>
      <c r="L119" s="92"/>
      <c r="M119" s="164"/>
      <c r="N119" s="165"/>
      <c r="O119" s="176"/>
      <c r="P119" s="177"/>
      <c r="Q119" s="178"/>
      <c r="R119" s="179"/>
      <c r="S119" s="180"/>
      <c r="T119" s="184"/>
      <c r="U119" s="182"/>
      <c r="V119" s="187"/>
      <c r="W119" s="186"/>
      <c r="X119" s="192"/>
      <c r="Y119" s="190"/>
      <c r="Z119" s="175"/>
      <c r="AA119" s="192"/>
      <c r="AB119" s="190"/>
      <c r="AC119" s="175"/>
      <c r="AD119" s="410"/>
      <c r="AE119" s="175">
        <f t="shared" si="18"/>
        <v>0</v>
      </c>
    </row>
    <row r="120" spans="1:31">
      <c r="A120" s="90"/>
      <c r="B120" s="91"/>
      <c r="C120" s="90"/>
      <c r="D120" s="90"/>
      <c r="E120" s="90"/>
      <c r="F120" s="90"/>
      <c r="G120" s="90"/>
      <c r="H120" s="90"/>
      <c r="I120" s="90"/>
      <c r="J120" s="92"/>
      <c r="K120" s="90"/>
      <c r="L120" s="92"/>
      <c r="M120" s="164"/>
      <c r="N120" s="165"/>
      <c r="O120" s="176"/>
      <c r="P120" s="177"/>
      <c r="Q120" s="178"/>
      <c r="R120" s="179"/>
      <c r="S120" s="180"/>
      <c r="T120" s="184"/>
      <c r="U120" s="182"/>
      <c r="V120" s="187"/>
      <c r="W120" s="186"/>
      <c r="X120" s="192"/>
      <c r="Y120" s="190"/>
      <c r="Z120" s="175"/>
      <c r="AA120" s="192"/>
      <c r="AB120" s="190"/>
      <c r="AC120" s="175"/>
      <c r="AD120" s="410"/>
      <c r="AE120" s="175">
        <f t="shared" si="18"/>
        <v>0</v>
      </c>
    </row>
    <row r="121" spans="1:31">
      <c r="A121" s="90"/>
      <c r="B121" s="91"/>
      <c r="C121" s="90"/>
      <c r="D121" s="90"/>
      <c r="E121" s="90"/>
      <c r="F121" s="90"/>
      <c r="G121" s="90"/>
      <c r="H121" s="90"/>
      <c r="I121" s="90"/>
      <c r="J121" s="92"/>
      <c r="K121" s="90"/>
      <c r="L121" s="92"/>
      <c r="M121" s="164"/>
      <c r="N121" s="165"/>
      <c r="O121" s="176"/>
      <c r="P121" s="177"/>
      <c r="Q121" s="178"/>
      <c r="R121" s="179"/>
      <c r="S121" s="180"/>
      <c r="T121" s="184"/>
      <c r="U121" s="182"/>
      <c r="V121" s="187"/>
      <c r="W121" s="186"/>
      <c r="X121" s="192"/>
      <c r="Y121" s="190"/>
      <c r="Z121" s="175"/>
      <c r="AA121" s="192"/>
      <c r="AB121" s="190"/>
      <c r="AC121" s="175"/>
      <c r="AD121" s="410"/>
      <c r="AE121" s="175">
        <f t="shared" si="18"/>
        <v>0</v>
      </c>
    </row>
    <row r="122" spans="1:31">
      <c r="A122" s="90"/>
      <c r="B122" s="91"/>
      <c r="C122" s="90"/>
      <c r="D122" s="90"/>
      <c r="E122" s="90"/>
      <c r="F122" s="90"/>
      <c r="G122" s="90"/>
      <c r="H122" s="90"/>
      <c r="I122" s="90"/>
      <c r="J122" s="92"/>
      <c r="K122" s="90"/>
      <c r="L122" s="92"/>
      <c r="M122" s="164"/>
      <c r="N122" s="165"/>
      <c r="O122" s="176"/>
      <c r="P122" s="177"/>
      <c r="Q122" s="178"/>
      <c r="R122" s="179"/>
      <c r="S122" s="180"/>
      <c r="T122" s="184"/>
      <c r="U122" s="182"/>
      <c r="V122" s="187"/>
      <c r="W122" s="186"/>
      <c r="X122" s="192"/>
      <c r="Y122" s="190"/>
      <c r="Z122" s="175"/>
      <c r="AA122" s="192"/>
      <c r="AB122" s="190"/>
      <c r="AC122" s="175"/>
      <c r="AD122" s="410"/>
      <c r="AE122" s="175">
        <f t="shared" si="18"/>
        <v>0</v>
      </c>
    </row>
    <row r="123" spans="1:31">
      <c r="A123" s="90"/>
      <c r="B123" s="91"/>
      <c r="C123" s="90"/>
      <c r="D123" s="90"/>
      <c r="E123" s="90"/>
      <c r="F123" s="90"/>
      <c r="G123" s="90"/>
      <c r="H123" s="90"/>
      <c r="I123" s="90"/>
      <c r="J123" s="92"/>
      <c r="K123" s="90"/>
      <c r="L123" s="92"/>
      <c r="M123" s="164"/>
      <c r="N123" s="165"/>
      <c r="O123" s="176"/>
      <c r="P123" s="177"/>
      <c r="Q123" s="178"/>
      <c r="R123" s="179"/>
      <c r="S123" s="180"/>
      <c r="T123" s="184"/>
      <c r="U123" s="182"/>
      <c r="V123" s="187"/>
      <c r="W123" s="186"/>
      <c r="X123" s="192"/>
      <c r="Y123" s="190"/>
      <c r="Z123" s="175"/>
      <c r="AA123" s="192"/>
      <c r="AB123" s="190"/>
      <c r="AC123" s="175"/>
      <c r="AD123" s="410"/>
      <c r="AE123" s="175">
        <f t="shared" si="18"/>
        <v>0</v>
      </c>
    </row>
    <row r="124" spans="1:31">
      <c r="A124" s="90"/>
      <c r="B124" s="91"/>
      <c r="C124" s="90"/>
      <c r="D124" s="90"/>
      <c r="E124" s="90"/>
      <c r="F124" s="90"/>
      <c r="G124" s="90"/>
      <c r="H124" s="90"/>
      <c r="I124" s="90"/>
      <c r="J124" s="92"/>
      <c r="K124" s="90"/>
      <c r="L124" s="92"/>
      <c r="M124" s="164"/>
      <c r="N124" s="165"/>
      <c r="O124" s="176"/>
      <c r="P124" s="177"/>
      <c r="Q124" s="178"/>
      <c r="R124" s="179"/>
      <c r="S124" s="180"/>
      <c r="T124" s="184"/>
      <c r="U124" s="182"/>
      <c r="V124" s="187"/>
      <c r="W124" s="186"/>
      <c r="X124" s="192"/>
      <c r="Y124" s="190"/>
      <c r="Z124" s="175"/>
      <c r="AA124" s="192"/>
      <c r="AB124" s="190"/>
      <c r="AC124" s="175"/>
      <c r="AD124" s="410"/>
      <c r="AE124" s="175">
        <f t="shared" si="18"/>
        <v>0</v>
      </c>
    </row>
    <row r="125" spans="1:31">
      <c r="A125" s="90"/>
      <c r="B125" s="91"/>
      <c r="C125" s="90"/>
      <c r="D125" s="90"/>
      <c r="E125" s="90"/>
      <c r="F125" s="90"/>
      <c r="G125" s="90"/>
      <c r="H125" s="90"/>
      <c r="I125" s="90"/>
      <c r="J125" s="92"/>
      <c r="K125" s="90"/>
      <c r="L125" s="92"/>
      <c r="M125" s="164"/>
      <c r="N125" s="165"/>
      <c r="O125" s="176"/>
      <c r="P125" s="177"/>
      <c r="Q125" s="178"/>
      <c r="R125" s="179"/>
      <c r="S125" s="180"/>
      <c r="T125" s="184"/>
      <c r="U125" s="182"/>
      <c r="V125" s="187"/>
      <c r="W125" s="186"/>
      <c r="X125" s="192"/>
      <c r="Y125" s="190"/>
      <c r="Z125" s="175"/>
      <c r="AA125" s="192"/>
      <c r="AB125" s="190"/>
      <c r="AC125" s="175"/>
      <c r="AD125" s="410"/>
      <c r="AE125" s="175">
        <f t="shared" si="18"/>
        <v>0</v>
      </c>
    </row>
    <row r="126" spans="1:31">
      <c r="A126" s="90"/>
      <c r="B126" s="91"/>
      <c r="C126" s="90"/>
      <c r="D126" s="90"/>
      <c r="E126" s="90"/>
      <c r="F126" s="90"/>
      <c r="G126" s="90"/>
      <c r="H126" s="90"/>
      <c r="I126" s="90"/>
      <c r="J126" s="92"/>
      <c r="K126" s="90"/>
      <c r="L126" s="92"/>
      <c r="M126" s="164"/>
      <c r="N126" s="165"/>
      <c r="O126" s="176"/>
      <c r="P126" s="177"/>
      <c r="Q126" s="178"/>
      <c r="R126" s="179"/>
      <c r="S126" s="180"/>
      <c r="T126" s="184"/>
      <c r="U126" s="182"/>
      <c r="V126" s="188"/>
      <c r="W126" s="189"/>
      <c r="X126" s="192"/>
      <c r="Y126" s="190"/>
      <c r="Z126" s="175"/>
      <c r="AA126" s="192"/>
      <c r="AB126" s="190"/>
      <c r="AC126" s="175"/>
      <c r="AD126" s="410"/>
      <c r="AE126" s="175">
        <f t="shared" si="18"/>
        <v>0</v>
      </c>
    </row>
    <row r="127" spans="1:31">
      <c r="A127" s="90"/>
      <c r="B127" s="91"/>
      <c r="C127" s="90"/>
      <c r="D127" s="90"/>
      <c r="E127" s="90"/>
      <c r="F127" s="90"/>
      <c r="G127" s="90"/>
      <c r="H127" s="90"/>
      <c r="I127" s="90"/>
      <c r="J127" s="92"/>
      <c r="K127" s="90"/>
      <c r="L127" s="92"/>
      <c r="M127" s="164"/>
      <c r="N127" s="165"/>
      <c r="O127" s="176"/>
      <c r="P127" s="177"/>
      <c r="Q127" s="178"/>
      <c r="R127" s="179"/>
      <c r="S127" s="180"/>
      <c r="T127" s="184"/>
      <c r="U127" s="182"/>
      <c r="V127" s="187"/>
      <c r="W127" s="186"/>
      <c r="X127" s="192"/>
      <c r="Y127" s="190"/>
      <c r="Z127" s="175"/>
      <c r="AA127" s="192"/>
      <c r="AB127" s="190"/>
      <c r="AC127" s="175"/>
      <c r="AD127" s="410"/>
      <c r="AE127" s="175">
        <f t="shared" ref="AE127:AE144" si="19">IF($L127="Business value",V127*X127,0)</f>
        <v>0</v>
      </c>
    </row>
    <row r="128" spans="1:31">
      <c r="A128" s="90"/>
      <c r="B128" s="91"/>
      <c r="C128" s="90"/>
      <c r="D128" s="90"/>
      <c r="E128" s="90"/>
      <c r="F128" s="90"/>
      <c r="G128" s="90"/>
      <c r="H128" s="90"/>
      <c r="I128" s="90"/>
      <c r="J128" s="92"/>
      <c r="K128" s="90"/>
      <c r="L128" s="92"/>
      <c r="M128" s="164"/>
      <c r="N128" s="165"/>
      <c r="O128" s="176"/>
      <c r="P128" s="177"/>
      <c r="Q128" s="178"/>
      <c r="R128" s="179"/>
      <c r="S128" s="180"/>
      <c r="T128" s="184"/>
      <c r="U128" s="182"/>
      <c r="V128" s="187"/>
      <c r="W128" s="186"/>
      <c r="X128" s="192"/>
      <c r="Y128" s="190"/>
      <c r="Z128" s="175"/>
      <c r="AA128" s="192"/>
      <c r="AB128" s="190"/>
      <c r="AC128" s="175"/>
      <c r="AD128" s="410"/>
      <c r="AE128" s="175">
        <f t="shared" si="19"/>
        <v>0</v>
      </c>
    </row>
    <row r="129" spans="1:31">
      <c r="A129" s="90"/>
      <c r="B129" s="91"/>
      <c r="C129" s="90"/>
      <c r="D129" s="90"/>
      <c r="E129" s="90"/>
      <c r="F129" s="90"/>
      <c r="G129" s="90"/>
      <c r="H129" s="90"/>
      <c r="I129" s="90"/>
      <c r="J129" s="92"/>
      <c r="K129" s="90"/>
      <c r="L129" s="92"/>
      <c r="M129" s="164"/>
      <c r="N129" s="165"/>
      <c r="O129" s="176"/>
      <c r="P129" s="177"/>
      <c r="Q129" s="178"/>
      <c r="R129" s="179"/>
      <c r="S129" s="180"/>
      <c r="T129" s="184"/>
      <c r="U129" s="182"/>
      <c r="V129" s="187"/>
      <c r="W129" s="186"/>
      <c r="X129" s="192"/>
      <c r="Y129" s="190"/>
      <c r="Z129" s="175"/>
      <c r="AA129" s="192"/>
      <c r="AB129" s="190"/>
      <c r="AC129" s="175"/>
      <c r="AD129" s="410"/>
      <c r="AE129" s="175">
        <f t="shared" si="19"/>
        <v>0</v>
      </c>
    </row>
    <row r="130" spans="1:31">
      <c r="A130" s="90"/>
      <c r="B130" s="91"/>
      <c r="C130" s="90"/>
      <c r="D130" s="90"/>
      <c r="E130" s="90"/>
      <c r="F130" s="90"/>
      <c r="G130" s="90"/>
      <c r="H130" s="90"/>
      <c r="I130" s="90"/>
      <c r="J130" s="92"/>
      <c r="K130" s="90"/>
      <c r="L130" s="92"/>
      <c r="M130" s="164"/>
      <c r="N130" s="165"/>
      <c r="O130" s="176"/>
      <c r="P130" s="177"/>
      <c r="Q130" s="178"/>
      <c r="R130" s="179"/>
      <c r="S130" s="180"/>
      <c r="T130" s="184"/>
      <c r="U130" s="182"/>
      <c r="V130" s="187"/>
      <c r="W130" s="186"/>
      <c r="X130" s="192"/>
      <c r="Y130" s="190"/>
      <c r="Z130" s="175"/>
      <c r="AA130" s="192"/>
      <c r="AB130" s="190"/>
      <c r="AC130" s="175"/>
      <c r="AD130" s="410"/>
      <c r="AE130" s="175">
        <f t="shared" si="19"/>
        <v>0</v>
      </c>
    </row>
    <row r="131" spans="1:31">
      <c r="A131" s="90"/>
      <c r="B131" s="91"/>
      <c r="C131" s="90"/>
      <c r="D131" s="90"/>
      <c r="E131" s="90"/>
      <c r="F131" s="90"/>
      <c r="G131" s="90"/>
      <c r="H131" s="90"/>
      <c r="I131" s="90"/>
      <c r="J131" s="92"/>
      <c r="K131" s="90"/>
      <c r="L131" s="92"/>
      <c r="M131" s="164"/>
      <c r="N131" s="165"/>
      <c r="O131" s="176"/>
      <c r="P131" s="177"/>
      <c r="Q131" s="178"/>
      <c r="R131" s="179"/>
      <c r="S131" s="180"/>
      <c r="T131" s="184"/>
      <c r="U131" s="182"/>
      <c r="V131" s="187"/>
      <c r="W131" s="186"/>
      <c r="X131" s="192"/>
      <c r="Y131" s="190"/>
      <c r="Z131" s="175"/>
      <c r="AA131" s="192"/>
      <c r="AB131" s="190"/>
      <c r="AC131" s="175"/>
      <c r="AD131" s="410"/>
      <c r="AE131" s="175">
        <f t="shared" si="19"/>
        <v>0</v>
      </c>
    </row>
    <row r="132" spans="1:31">
      <c r="A132" s="90"/>
      <c r="B132" s="91"/>
      <c r="C132" s="90"/>
      <c r="D132" s="90"/>
      <c r="E132" s="90"/>
      <c r="F132" s="90"/>
      <c r="G132" s="90"/>
      <c r="H132" s="90"/>
      <c r="I132" s="90"/>
      <c r="J132" s="92"/>
      <c r="K132" s="90"/>
      <c r="L132" s="92"/>
      <c r="M132" s="164"/>
      <c r="N132" s="165"/>
      <c r="O132" s="176"/>
      <c r="P132" s="177"/>
      <c r="Q132" s="178"/>
      <c r="R132" s="179"/>
      <c r="S132" s="180"/>
      <c r="T132" s="184"/>
      <c r="U132" s="182"/>
      <c r="V132" s="187"/>
      <c r="W132" s="186"/>
      <c r="X132" s="192"/>
      <c r="Y132" s="190"/>
      <c r="Z132" s="175"/>
      <c r="AA132" s="192"/>
      <c r="AB132" s="190"/>
      <c r="AC132" s="175"/>
      <c r="AD132" s="410"/>
      <c r="AE132" s="175">
        <f t="shared" si="19"/>
        <v>0</v>
      </c>
    </row>
    <row r="133" spans="1:31">
      <c r="A133" s="90"/>
      <c r="B133" s="91"/>
      <c r="C133" s="90"/>
      <c r="D133" s="90"/>
      <c r="E133" s="90"/>
      <c r="F133" s="90"/>
      <c r="G133" s="90"/>
      <c r="H133" s="90"/>
      <c r="I133" s="90"/>
      <c r="J133" s="92"/>
      <c r="K133" s="90"/>
      <c r="L133" s="92"/>
      <c r="M133" s="164"/>
      <c r="N133" s="165"/>
      <c r="O133" s="176"/>
      <c r="P133" s="177"/>
      <c r="Q133" s="178"/>
      <c r="R133" s="179"/>
      <c r="S133" s="180"/>
      <c r="T133" s="184"/>
      <c r="U133" s="182"/>
      <c r="V133" s="187"/>
      <c r="W133" s="186"/>
      <c r="X133" s="192"/>
      <c r="Y133" s="190"/>
      <c r="Z133" s="175"/>
      <c r="AA133" s="192"/>
      <c r="AB133" s="190"/>
      <c r="AC133" s="175"/>
      <c r="AD133" s="410"/>
      <c r="AE133" s="175">
        <f t="shared" si="19"/>
        <v>0</v>
      </c>
    </row>
    <row r="134" spans="1:31">
      <c r="A134" s="90"/>
      <c r="B134" s="91"/>
      <c r="C134" s="90"/>
      <c r="D134" s="90"/>
      <c r="E134" s="90"/>
      <c r="F134" s="90"/>
      <c r="G134" s="90"/>
      <c r="H134" s="90"/>
      <c r="I134" s="90"/>
      <c r="J134" s="92"/>
      <c r="K134" s="90"/>
      <c r="L134" s="92"/>
      <c r="M134" s="164"/>
      <c r="N134" s="165"/>
      <c r="O134" s="176"/>
      <c r="P134" s="177"/>
      <c r="Q134" s="178"/>
      <c r="R134" s="179"/>
      <c r="S134" s="180"/>
      <c r="T134" s="184"/>
      <c r="U134" s="182"/>
      <c r="V134" s="187"/>
      <c r="W134" s="186"/>
      <c r="X134" s="192"/>
      <c r="Y134" s="190"/>
      <c r="Z134" s="175"/>
      <c r="AA134" s="192"/>
      <c r="AB134" s="190"/>
      <c r="AC134" s="175"/>
      <c r="AD134" s="410"/>
      <c r="AE134" s="175">
        <f t="shared" si="19"/>
        <v>0</v>
      </c>
    </row>
    <row r="135" spans="1:31">
      <c r="A135" s="90"/>
      <c r="B135" s="91"/>
      <c r="C135" s="90"/>
      <c r="D135" s="90"/>
      <c r="E135" s="90"/>
      <c r="F135" s="90"/>
      <c r="G135" s="90"/>
      <c r="H135" s="90"/>
      <c r="I135" s="90"/>
      <c r="J135" s="92"/>
      <c r="K135" s="90"/>
      <c r="L135" s="92"/>
      <c r="M135" s="164"/>
      <c r="N135" s="165"/>
      <c r="O135" s="176"/>
      <c r="P135" s="177"/>
      <c r="Q135" s="178"/>
      <c r="R135" s="179"/>
      <c r="S135" s="180"/>
      <c r="T135" s="184"/>
      <c r="U135" s="182"/>
      <c r="V135" s="187"/>
      <c r="W135" s="186"/>
      <c r="X135" s="192"/>
      <c r="Y135" s="190"/>
      <c r="Z135" s="175"/>
      <c r="AA135" s="192"/>
      <c r="AB135" s="190"/>
      <c r="AC135" s="175"/>
      <c r="AD135" s="410"/>
      <c r="AE135" s="175">
        <f t="shared" si="19"/>
        <v>0</v>
      </c>
    </row>
    <row r="136" spans="1:31">
      <c r="A136" s="90"/>
      <c r="B136" s="91"/>
      <c r="C136" s="90"/>
      <c r="D136" s="90"/>
      <c r="E136" s="90"/>
      <c r="F136" s="90"/>
      <c r="G136" s="90"/>
      <c r="H136" s="90"/>
      <c r="I136" s="90"/>
      <c r="J136" s="92"/>
      <c r="K136" s="90"/>
      <c r="L136" s="92"/>
      <c r="M136" s="164"/>
      <c r="N136" s="165"/>
      <c r="O136" s="176"/>
      <c r="P136" s="177"/>
      <c r="Q136" s="178"/>
      <c r="R136" s="179"/>
      <c r="S136" s="180"/>
      <c r="T136" s="184"/>
      <c r="U136" s="182"/>
      <c r="V136" s="187"/>
      <c r="W136" s="186"/>
      <c r="X136" s="192"/>
      <c r="Y136" s="190"/>
      <c r="Z136" s="175"/>
      <c r="AA136" s="192"/>
      <c r="AB136" s="190"/>
      <c r="AC136" s="175"/>
      <c r="AD136" s="410"/>
      <c r="AE136" s="175">
        <f t="shared" si="19"/>
        <v>0</v>
      </c>
    </row>
    <row r="137" spans="1:31">
      <c r="A137" s="90"/>
      <c r="B137" s="91"/>
      <c r="C137" s="90"/>
      <c r="D137" s="90"/>
      <c r="E137" s="90"/>
      <c r="F137" s="90"/>
      <c r="G137" s="90"/>
      <c r="H137" s="90"/>
      <c r="I137" s="90"/>
      <c r="J137" s="92"/>
      <c r="K137" s="90"/>
      <c r="L137" s="92"/>
      <c r="M137" s="164"/>
      <c r="N137" s="165"/>
      <c r="O137" s="176"/>
      <c r="P137" s="177"/>
      <c r="Q137" s="178"/>
      <c r="R137" s="179"/>
      <c r="S137" s="180"/>
      <c r="T137" s="184"/>
      <c r="U137" s="182"/>
      <c r="V137" s="187"/>
      <c r="W137" s="186"/>
      <c r="X137" s="192"/>
      <c r="Y137" s="190"/>
      <c r="Z137" s="175"/>
      <c r="AA137" s="192"/>
      <c r="AB137" s="190"/>
      <c r="AC137" s="175"/>
      <c r="AD137" s="410"/>
      <c r="AE137" s="175">
        <f t="shared" si="19"/>
        <v>0</v>
      </c>
    </row>
    <row r="138" spans="1:31">
      <c r="A138" s="90"/>
      <c r="B138" s="91"/>
      <c r="C138" s="90"/>
      <c r="D138" s="90"/>
      <c r="E138" s="90"/>
      <c r="F138" s="90"/>
      <c r="G138" s="90"/>
      <c r="H138" s="90"/>
      <c r="I138" s="90"/>
      <c r="J138" s="92"/>
      <c r="K138" s="90"/>
      <c r="L138" s="92"/>
      <c r="M138" s="164"/>
      <c r="N138" s="165"/>
      <c r="O138" s="176"/>
      <c r="P138" s="177"/>
      <c r="Q138" s="178"/>
      <c r="R138" s="179"/>
      <c r="S138" s="180"/>
      <c r="T138" s="184"/>
      <c r="U138" s="182"/>
      <c r="V138" s="187"/>
      <c r="W138" s="186"/>
      <c r="X138" s="192"/>
      <c r="Y138" s="190"/>
      <c r="Z138" s="175"/>
      <c r="AA138" s="192"/>
      <c r="AB138" s="190"/>
      <c r="AC138" s="175"/>
      <c r="AD138" s="410"/>
      <c r="AE138" s="175">
        <f t="shared" si="19"/>
        <v>0</v>
      </c>
    </row>
    <row r="139" spans="1:31">
      <c r="A139" s="90"/>
      <c r="B139" s="91"/>
      <c r="C139" s="90"/>
      <c r="D139" s="90"/>
      <c r="E139" s="90"/>
      <c r="F139" s="90"/>
      <c r="G139" s="90"/>
      <c r="H139" s="90"/>
      <c r="I139" s="90"/>
      <c r="J139" s="92"/>
      <c r="K139" s="90"/>
      <c r="L139" s="92"/>
      <c r="M139" s="164"/>
      <c r="N139" s="165"/>
      <c r="O139" s="176"/>
      <c r="P139" s="177"/>
      <c r="Q139" s="178"/>
      <c r="R139" s="179"/>
      <c r="S139" s="180"/>
      <c r="T139" s="184"/>
      <c r="U139" s="182"/>
      <c r="V139" s="187"/>
      <c r="W139" s="186"/>
      <c r="X139" s="192"/>
      <c r="Y139" s="190"/>
      <c r="Z139" s="175"/>
      <c r="AA139" s="192"/>
      <c r="AB139" s="190"/>
      <c r="AC139" s="175"/>
      <c r="AD139" s="410"/>
      <c r="AE139" s="175">
        <f t="shared" si="19"/>
        <v>0</v>
      </c>
    </row>
    <row r="140" spans="1:31">
      <c r="A140" s="90"/>
      <c r="B140" s="91"/>
      <c r="C140" s="90"/>
      <c r="D140" s="90"/>
      <c r="E140" s="90"/>
      <c r="F140" s="90"/>
      <c r="G140" s="90"/>
      <c r="H140" s="90"/>
      <c r="I140" s="90"/>
      <c r="J140" s="92"/>
      <c r="K140" s="90"/>
      <c r="L140" s="92"/>
      <c r="M140" s="164"/>
      <c r="N140" s="165"/>
      <c r="O140" s="176"/>
      <c r="P140" s="177"/>
      <c r="Q140" s="178"/>
      <c r="R140" s="179"/>
      <c r="S140" s="180"/>
      <c r="T140" s="184"/>
      <c r="U140" s="182"/>
      <c r="V140" s="187"/>
      <c r="W140" s="186"/>
      <c r="X140" s="192"/>
      <c r="Y140" s="190"/>
      <c r="Z140" s="175"/>
      <c r="AA140" s="192"/>
      <c r="AB140" s="190"/>
      <c r="AC140" s="175"/>
      <c r="AD140" s="410"/>
      <c r="AE140" s="175">
        <f t="shared" si="19"/>
        <v>0</v>
      </c>
    </row>
    <row r="141" spans="1:31">
      <c r="A141" s="90"/>
      <c r="B141" s="91"/>
      <c r="C141" s="90"/>
      <c r="D141" s="90"/>
      <c r="E141" s="90"/>
      <c r="F141" s="90"/>
      <c r="G141" s="90"/>
      <c r="H141" s="90"/>
      <c r="I141" s="90"/>
      <c r="J141" s="92"/>
      <c r="K141" s="90"/>
      <c r="L141" s="92"/>
      <c r="M141" s="164"/>
      <c r="N141" s="165"/>
      <c r="O141" s="176"/>
      <c r="P141" s="177"/>
      <c r="Q141" s="178"/>
      <c r="R141" s="179"/>
      <c r="S141" s="180"/>
      <c r="T141" s="184"/>
      <c r="U141" s="182"/>
      <c r="V141" s="187"/>
      <c r="W141" s="186"/>
      <c r="X141" s="192"/>
      <c r="Y141" s="190"/>
      <c r="Z141" s="175"/>
      <c r="AA141" s="192"/>
      <c r="AB141" s="190"/>
      <c r="AC141" s="175"/>
      <c r="AD141" s="410"/>
      <c r="AE141" s="175">
        <f t="shared" si="19"/>
        <v>0</v>
      </c>
    </row>
    <row r="142" spans="1:31">
      <c r="A142" s="90"/>
      <c r="B142" s="91"/>
      <c r="C142" s="90"/>
      <c r="D142" s="90"/>
      <c r="E142" s="90"/>
      <c r="F142" s="90"/>
      <c r="G142" s="90"/>
      <c r="H142" s="90"/>
      <c r="I142" s="90"/>
      <c r="J142" s="92"/>
      <c r="K142" s="90"/>
      <c r="L142" s="92"/>
      <c r="M142" s="164"/>
      <c r="N142" s="165"/>
      <c r="O142" s="176"/>
      <c r="P142" s="177"/>
      <c r="Q142" s="178"/>
      <c r="R142" s="179"/>
      <c r="S142" s="180"/>
      <c r="T142" s="184"/>
      <c r="U142" s="182"/>
      <c r="V142" s="187"/>
      <c r="W142" s="186"/>
      <c r="X142" s="192"/>
      <c r="Y142" s="190"/>
      <c r="Z142" s="175"/>
      <c r="AA142" s="192"/>
      <c r="AB142" s="190"/>
      <c r="AC142" s="175"/>
      <c r="AD142" s="410"/>
      <c r="AE142" s="175">
        <f t="shared" si="19"/>
        <v>0</v>
      </c>
    </row>
    <row r="143" spans="1:31">
      <c r="A143" s="90"/>
      <c r="B143" s="91"/>
      <c r="C143" s="90"/>
      <c r="D143" s="90"/>
      <c r="E143" s="90"/>
      <c r="F143" s="90"/>
      <c r="G143" s="90"/>
      <c r="H143" s="90"/>
      <c r="I143" s="90"/>
      <c r="J143" s="92"/>
      <c r="K143" s="90"/>
      <c r="L143" s="92"/>
      <c r="M143" s="164"/>
      <c r="N143" s="165"/>
      <c r="O143" s="176"/>
      <c r="P143" s="177"/>
      <c r="Q143" s="178"/>
      <c r="R143" s="179"/>
      <c r="S143" s="180"/>
      <c r="T143" s="184"/>
      <c r="U143" s="182"/>
      <c r="V143" s="187"/>
      <c r="W143" s="186"/>
      <c r="X143" s="192"/>
      <c r="Y143" s="190"/>
      <c r="Z143" s="175"/>
      <c r="AA143" s="192"/>
      <c r="AB143" s="190"/>
      <c r="AC143" s="175"/>
      <c r="AD143" s="410"/>
      <c r="AE143" s="175">
        <f t="shared" si="19"/>
        <v>0</v>
      </c>
    </row>
    <row r="144" spans="1:31">
      <c r="A144" s="90"/>
      <c r="B144" s="91"/>
      <c r="C144" s="90"/>
      <c r="D144" s="90"/>
      <c r="E144" s="90"/>
      <c r="F144" s="90"/>
      <c r="G144" s="90"/>
      <c r="H144" s="90"/>
      <c r="I144" s="90"/>
      <c r="J144" s="92"/>
      <c r="K144" s="90"/>
      <c r="L144" s="92"/>
      <c r="M144" s="164"/>
      <c r="N144" s="165"/>
      <c r="O144" s="176"/>
      <c r="P144" s="177"/>
      <c r="Q144" s="178"/>
      <c r="R144" s="179"/>
      <c r="S144" s="180"/>
      <c r="T144" s="184"/>
      <c r="U144" s="182"/>
      <c r="V144" s="188"/>
      <c r="W144" s="189"/>
      <c r="X144" s="192"/>
      <c r="Y144" s="190"/>
      <c r="Z144" s="175"/>
      <c r="AA144" s="192"/>
      <c r="AB144" s="190"/>
      <c r="AC144" s="175"/>
      <c r="AD144" s="410"/>
      <c r="AE144" s="175">
        <f t="shared" si="19"/>
        <v>0</v>
      </c>
    </row>
    <row r="145" spans="1:31">
      <c r="A145" s="90"/>
      <c r="B145" s="91"/>
      <c r="C145" s="90"/>
      <c r="D145" s="90"/>
      <c r="E145" s="90"/>
      <c r="F145" s="90"/>
      <c r="G145" s="90"/>
      <c r="H145" s="90"/>
      <c r="I145" s="90"/>
      <c r="J145" s="92"/>
      <c r="K145" s="90"/>
      <c r="L145" s="92"/>
      <c r="M145" s="164"/>
      <c r="N145" s="165"/>
      <c r="O145" s="176"/>
      <c r="P145" s="177"/>
      <c r="Q145" s="178"/>
      <c r="R145" s="179"/>
      <c r="S145" s="180"/>
      <c r="T145" s="184"/>
      <c r="U145" s="182"/>
      <c r="V145" s="188"/>
      <c r="W145" s="189"/>
      <c r="X145" s="192"/>
      <c r="Y145" s="190"/>
      <c r="Z145" s="175"/>
      <c r="AA145" s="192"/>
      <c r="AB145" s="190"/>
      <c r="AC145" s="175"/>
      <c r="AD145" s="410"/>
      <c r="AE145" s="175">
        <f t="shared" ref="AE145" si="20">IF($L145="Business value",V145*X145,0)</f>
        <v>0</v>
      </c>
    </row>
    <row r="146" spans="1:31">
      <c r="A146" s="90"/>
      <c r="B146" s="91"/>
      <c r="C146" s="90"/>
      <c r="D146" s="90"/>
      <c r="E146" s="90"/>
      <c r="F146" s="90"/>
      <c r="G146" s="90"/>
      <c r="H146" s="90"/>
      <c r="I146" s="90"/>
      <c r="J146" s="90"/>
      <c r="K146" s="90"/>
      <c r="L146" s="92"/>
      <c r="M146" s="164"/>
      <c r="N146" s="165"/>
      <c r="O146" s="176"/>
      <c r="P146" s="177"/>
      <c r="Q146" s="178"/>
      <c r="R146" s="179"/>
      <c r="S146" s="180"/>
      <c r="T146" s="184"/>
      <c r="U146" s="185"/>
      <c r="V146" s="188"/>
      <c r="W146" s="189"/>
      <c r="X146" s="191"/>
      <c r="Y146" s="190"/>
      <c r="Z146" s="175"/>
      <c r="AA146" s="191"/>
      <c r="AB146" s="190"/>
      <c r="AC146" s="175"/>
      <c r="AD146" s="410"/>
      <c r="AE146" s="175">
        <f t="shared" ref="AE146:AE161" si="21">IF($L146="Business value",V146*X146,0)</f>
        <v>0</v>
      </c>
    </row>
    <row r="147" spans="1:31">
      <c r="A147" s="90"/>
      <c r="B147" s="91"/>
      <c r="C147" s="90"/>
      <c r="D147" s="90"/>
      <c r="E147" s="90"/>
      <c r="F147" s="90"/>
      <c r="G147" s="90"/>
      <c r="H147" s="90"/>
      <c r="I147" s="90"/>
      <c r="J147" s="90"/>
      <c r="K147" s="90"/>
      <c r="L147" s="92"/>
      <c r="M147" s="164"/>
      <c r="N147" s="165"/>
      <c r="O147" s="176"/>
      <c r="P147" s="177"/>
      <c r="Q147" s="178"/>
      <c r="R147" s="179"/>
      <c r="S147" s="180"/>
      <c r="T147" s="184"/>
      <c r="U147" s="185"/>
      <c r="V147" s="188"/>
      <c r="W147" s="189"/>
      <c r="X147" s="191"/>
      <c r="Y147" s="190"/>
      <c r="Z147" s="175"/>
      <c r="AA147" s="191"/>
      <c r="AB147" s="190"/>
      <c r="AC147" s="175"/>
      <c r="AD147" s="410"/>
      <c r="AE147" s="175">
        <f t="shared" si="21"/>
        <v>0</v>
      </c>
    </row>
    <row r="148" spans="1:31">
      <c r="A148" s="90"/>
      <c r="B148" s="91"/>
      <c r="C148" s="90"/>
      <c r="D148" s="90"/>
      <c r="E148" s="90"/>
      <c r="F148" s="90"/>
      <c r="G148" s="90"/>
      <c r="H148" s="90"/>
      <c r="I148" s="90"/>
      <c r="J148" s="90"/>
      <c r="K148" s="90"/>
      <c r="L148" s="92"/>
      <c r="M148" s="164"/>
      <c r="N148" s="165"/>
      <c r="O148" s="176"/>
      <c r="P148" s="177"/>
      <c r="Q148" s="178"/>
      <c r="R148" s="179"/>
      <c r="S148" s="180"/>
      <c r="T148" s="184"/>
      <c r="U148" s="185"/>
      <c r="V148" s="188"/>
      <c r="W148" s="189"/>
      <c r="X148" s="191"/>
      <c r="Y148" s="190"/>
      <c r="Z148" s="175"/>
      <c r="AA148" s="191"/>
      <c r="AB148" s="190"/>
      <c r="AC148" s="175"/>
      <c r="AD148" s="410"/>
      <c r="AE148" s="175">
        <f t="shared" si="21"/>
        <v>0</v>
      </c>
    </row>
    <row r="149" spans="1:31">
      <c r="A149" s="90"/>
      <c r="B149" s="91"/>
      <c r="C149" s="90"/>
      <c r="D149" s="90"/>
      <c r="E149" s="90"/>
      <c r="F149" s="90"/>
      <c r="G149" s="90"/>
      <c r="H149" s="90"/>
      <c r="I149" s="90"/>
      <c r="J149" s="90"/>
      <c r="K149" s="90"/>
      <c r="L149" s="92"/>
      <c r="M149" s="164"/>
      <c r="N149" s="165"/>
      <c r="O149" s="176"/>
      <c r="P149" s="177"/>
      <c r="Q149" s="178"/>
      <c r="R149" s="179"/>
      <c r="S149" s="180"/>
      <c r="T149" s="184"/>
      <c r="U149" s="182"/>
      <c r="V149" s="188"/>
      <c r="W149" s="189"/>
      <c r="X149" s="191"/>
      <c r="Y149" s="190"/>
      <c r="Z149" s="175"/>
      <c r="AA149" s="191"/>
      <c r="AB149" s="190"/>
      <c r="AC149" s="175"/>
      <c r="AD149" s="410"/>
      <c r="AE149" s="175">
        <f t="shared" si="21"/>
        <v>0</v>
      </c>
    </row>
    <row r="150" spans="1:31">
      <c r="A150" s="90"/>
      <c r="B150" s="91"/>
      <c r="C150" s="90"/>
      <c r="D150" s="90"/>
      <c r="E150" s="90"/>
      <c r="F150" s="90"/>
      <c r="G150" s="90"/>
      <c r="H150" s="90"/>
      <c r="I150" s="90"/>
      <c r="J150" s="90"/>
      <c r="K150" s="90"/>
      <c r="L150" s="92"/>
      <c r="M150" s="164"/>
      <c r="N150" s="165"/>
      <c r="O150" s="176"/>
      <c r="P150" s="177"/>
      <c r="Q150" s="178"/>
      <c r="R150" s="179"/>
      <c r="S150" s="180"/>
      <c r="T150" s="184"/>
      <c r="U150" s="182"/>
      <c r="V150" s="188"/>
      <c r="W150" s="189"/>
      <c r="X150" s="191"/>
      <c r="Y150" s="190"/>
      <c r="Z150" s="175"/>
      <c r="AA150" s="191"/>
      <c r="AB150" s="190"/>
      <c r="AC150" s="175"/>
      <c r="AD150" s="410"/>
      <c r="AE150" s="175">
        <f t="shared" si="21"/>
        <v>0</v>
      </c>
    </row>
    <row r="151" spans="1:31">
      <c r="A151" s="90"/>
      <c r="B151" s="91"/>
      <c r="C151" s="90"/>
      <c r="D151" s="90"/>
      <c r="E151" s="90"/>
      <c r="F151" s="90"/>
      <c r="G151" s="90"/>
      <c r="H151" s="90"/>
      <c r="I151" s="90"/>
      <c r="J151" s="90"/>
      <c r="K151" s="90"/>
      <c r="L151" s="92"/>
      <c r="M151" s="164"/>
      <c r="N151" s="165"/>
      <c r="O151" s="176"/>
      <c r="P151" s="177"/>
      <c r="Q151" s="178"/>
      <c r="R151" s="179"/>
      <c r="S151" s="180"/>
      <c r="T151" s="184"/>
      <c r="U151" s="182"/>
      <c r="V151" s="188"/>
      <c r="W151" s="189"/>
      <c r="X151" s="191"/>
      <c r="Y151" s="190"/>
      <c r="Z151" s="175"/>
      <c r="AA151" s="191"/>
      <c r="AB151" s="190"/>
      <c r="AC151" s="175"/>
      <c r="AD151" s="410"/>
      <c r="AE151" s="175">
        <f t="shared" si="21"/>
        <v>0</v>
      </c>
    </row>
    <row r="152" spans="1:31">
      <c r="A152" s="90"/>
      <c r="B152" s="91"/>
      <c r="C152" s="90"/>
      <c r="D152" s="90"/>
      <c r="E152" s="90"/>
      <c r="F152" s="90"/>
      <c r="G152" s="90"/>
      <c r="H152" s="90"/>
      <c r="I152" s="90"/>
      <c r="J152" s="90"/>
      <c r="K152" s="90"/>
      <c r="L152" s="92"/>
      <c r="M152" s="164"/>
      <c r="N152" s="165"/>
      <c r="O152" s="176"/>
      <c r="P152" s="177"/>
      <c r="Q152" s="178"/>
      <c r="R152" s="179"/>
      <c r="S152" s="180"/>
      <c r="T152" s="184"/>
      <c r="U152" s="185"/>
      <c r="V152" s="188"/>
      <c r="W152" s="189"/>
      <c r="X152" s="191"/>
      <c r="Y152" s="190"/>
      <c r="Z152" s="175"/>
      <c r="AA152" s="191"/>
      <c r="AB152" s="190"/>
      <c r="AC152" s="175"/>
      <c r="AD152" s="410"/>
      <c r="AE152" s="175">
        <f t="shared" si="21"/>
        <v>0</v>
      </c>
    </row>
    <row r="153" spans="1:31">
      <c r="A153" s="90"/>
      <c r="B153" s="91"/>
      <c r="C153" s="90"/>
      <c r="D153" s="90"/>
      <c r="E153" s="90"/>
      <c r="F153" s="90"/>
      <c r="G153" s="90"/>
      <c r="H153" s="90"/>
      <c r="I153" s="90"/>
      <c r="J153" s="90"/>
      <c r="K153" s="90"/>
      <c r="L153" s="92"/>
      <c r="M153" s="164"/>
      <c r="N153" s="165"/>
      <c r="O153" s="176"/>
      <c r="P153" s="177"/>
      <c r="Q153" s="178"/>
      <c r="R153" s="179"/>
      <c r="S153" s="180"/>
      <c r="T153" s="184"/>
      <c r="U153" s="185"/>
      <c r="V153" s="188"/>
      <c r="W153" s="189"/>
      <c r="X153" s="191"/>
      <c r="Y153" s="190"/>
      <c r="Z153" s="175"/>
      <c r="AA153" s="191"/>
      <c r="AB153" s="190"/>
      <c r="AC153" s="175"/>
      <c r="AD153" s="410"/>
      <c r="AE153" s="175">
        <f t="shared" ref="AE153" si="22">IF($L153="Business value",V153*X153,0)</f>
        <v>0</v>
      </c>
    </row>
    <row r="154" spans="1:31">
      <c r="A154" s="90"/>
      <c r="B154" s="91"/>
      <c r="C154" s="90"/>
      <c r="D154" s="90"/>
      <c r="E154" s="90"/>
      <c r="F154" s="90"/>
      <c r="G154" s="90"/>
      <c r="H154" s="90"/>
      <c r="I154" s="90"/>
      <c r="J154" s="90"/>
      <c r="K154" s="90"/>
      <c r="L154" s="92"/>
      <c r="M154" s="164"/>
      <c r="N154" s="165"/>
      <c r="O154" s="176"/>
      <c r="P154" s="177"/>
      <c r="Q154" s="178"/>
      <c r="R154" s="179"/>
      <c r="S154" s="180"/>
      <c r="T154" s="184"/>
      <c r="U154" s="185"/>
      <c r="V154" s="188"/>
      <c r="W154" s="189"/>
      <c r="X154" s="191"/>
      <c r="Y154" s="190"/>
      <c r="Z154" s="175"/>
      <c r="AA154" s="191"/>
      <c r="AB154" s="190"/>
      <c r="AC154" s="175"/>
      <c r="AD154" s="410"/>
      <c r="AE154" s="175">
        <f t="shared" ref="AE154" si="23">IF($L154="Business value",V154*X154,0)</f>
        <v>0</v>
      </c>
    </row>
    <row r="155" spans="1:31">
      <c r="A155" s="90"/>
      <c r="B155" s="91"/>
      <c r="C155" s="90"/>
      <c r="D155" s="90"/>
      <c r="E155" s="90"/>
      <c r="F155" s="90"/>
      <c r="G155" s="90"/>
      <c r="H155" s="90"/>
      <c r="I155" s="90"/>
      <c r="J155" s="92"/>
      <c r="K155" s="90"/>
      <c r="L155" s="92"/>
      <c r="M155" s="164"/>
      <c r="N155" s="165"/>
      <c r="O155" s="176"/>
      <c r="P155" s="177"/>
      <c r="Q155" s="178"/>
      <c r="R155" s="179"/>
      <c r="S155" s="180"/>
      <c r="T155" s="184"/>
      <c r="U155" s="182"/>
      <c r="V155" s="188"/>
      <c r="W155" s="189"/>
      <c r="X155" s="191"/>
      <c r="Y155" s="190"/>
      <c r="Z155" s="175"/>
      <c r="AA155" s="191"/>
      <c r="AB155" s="190"/>
      <c r="AC155" s="175"/>
      <c r="AD155" s="410"/>
      <c r="AE155" s="175">
        <f t="shared" si="21"/>
        <v>0</v>
      </c>
    </row>
    <row r="156" spans="1:31">
      <c r="A156" s="90"/>
      <c r="B156" s="91"/>
      <c r="C156" s="90"/>
      <c r="D156" s="90"/>
      <c r="E156" s="90"/>
      <c r="F156" s="90"/>
      <c r="G156" s="90"/>
      <c r="H156" s="90"/>
      <c r="I156" s="90"/>
      <c r="J156" s="90"/>
      <c r="K156" s="90"/>
      <c r="L156" s="92"/>
      <c r="M156" s="164"/>
      <c r="N156" s="165"/>
      <c r="O156" s="176"/>
      <c r="P156" s="177"/>
      <c r="Q156" s="178"/>
      <c r="R156" s="179"/>
      <c r="S156" s="180"/>
      <c r="T156" s="184"/>
      <c r="U156" s="182"/>
      <c r="V156" s="188"/>
      <c r="W156" s="189"/>
      <c r="X156" s="191"/>
      <c r="Y156" s="190"/>
      <c r="Z156" s="175"/>
      <c r="AA156" s="191"/>
      <c r="AB156" s="190"/>
      <c r="AC156" s="175"/>
      <c r="AD156" s="410"/>
      <c r="AE156" s="175">
        <f>IF($L156="Business value",V156*X156,0)</f>
        <v>0</v>
      </c>
    </row>
    <row r="157" spans="1:31">
      <c r="A157" s="90"/>
      <c r="B157" s="91"/>
      <c r="C157" s="90"/>
      <c r="D157" s="90"/>
      <c r="E157" s="90"/>
      <c r="F157" s="90"/>
      <c r="G157" s="90"/>
      <c r="H157" s="90"/>
      <c r="I157" s="90"/>
      <c r="J157" s="92"/>
      <c r="K157" s="90"/>
      <c r="L157" s="92"/>
      <c r="M157" s="164"/>
      <c r="N157" s="165"/>
      <c r="O157" s="176"/>
      <c r="P157" s="177"/>
      <c r="Q157" s="178"/>
      <c r="R157" s="179"/>
      <c r="S157" s="180"/>
      <c r="T157" s="184"/>
      <c r="U157" s="185"/>
      <c r="V157" s="188"/>
      <c r="W157" s="189"/>
      <c r="X157" s="191"/>
      <c r="Y157" s="190"/>
      <c r="Z157" s="175"/>
      <c r="AA157" s="191"/>
      <c r="AB157" s="190"/>
      <c r="AC157" s="175"/>
      <c r="AD157" s="410"/>
      <c r="AE157" s="175">
        <f t="shared" si="21"/>
        <v>0</v>
      </c>
    </row>
    <row r="158" spans="1:31">
      <c r="A158" s="90"/>
      <c r="B158" s="91"/>
      <c r="C158" s="90"/>
      <c r="D158" s="90"/>
      <c r="E158" s="90"/>
      <c r="F158" s="90"/>
      <c r="G158" s="90"/>
      <c r="H158" s="90"/>
      <c r="I158" s="90"/>
      <c r="J158" s="90"/>
      <c r="K158" s="90"/>
      <c r="L158" s="92"/>
      <c r="M158" s="164"/>
      <c r="N158" s="165"/>
      <c r="O158" s="176"/>
      <c r="P158" s="177"/>
      <c r="Q158" s="178"/>
      <c r="R158" s="179"/>
      <c r="S158" s="180"/>
      <c r="T158" s="184"/>
      <c r="U158" s="185"/>
      <c r="V158" s="188"/>
      <c r="W158" s="189"/>
      <c r="X158" s="191"/>
      <c r="Y158" s="190"/>
      <c r="Z158" s="175"/>
      <c r="AA158" s="191"/>
      <c r="AB158" s="190"/>
      <c r="AC158" s="175"/>
      <c r="AD158" s="410"/>
      <c r="AE158" s="175">
        <f t="shared" si="21"/>
        <v>0</v>
      </c>
    </row>
    <row r="159" spans="1:31">
      <c r="A159" s="90"/>
      <c r="B159" s="91"/>
      <c r="C159" s="90"/>
      <c r="D159" s="90"/>
      <c r="E159" s="90"/>
      <c r="F159" s="90"/>
      <c r="G159" s="90"/>
      <c r="H159" s="90"/>
      <c r="I159" s="90"/>
      <c r="J159" s="90"/>
      <c r="K159" s="90"/>
      <c r="L159" s="92"/>
      <c r="M159" s="164"/>
      <c r="N159" s="165"/>
      <c r="O159" s="176"/>
      <c r="P159" s="177"/>
      <c r="Q159" s="178"/>
      <c r="R159" s="179"/>
      <c r="S159" s="180"/>
      <c r="T159" s="184"/>
      <c r="U159" s="185"/>
      <c r="V159" s="188"/>
      <c r="W159" s="189"/>
      <c r="X159" s="191"/>
      <c r="Y159" s="190"/>
      <c r="Z159" s="175"/>
      <c r="AA159" s="191"/>
      <c r="AB159" s="190"/>
      <c r="AC159" s="175"/>
      <c r="AD159" s="410"/>
      <c r="AE159" s="175">
        <f t="shared" si="21"/>
        <v>0</v>
      </c>
    </row>
    <row r="160" spans="1:31">
      <c r="A160" s="90"/>
      <c r="B160" s="91"/>
      <c r="C160" s="90"/>
      <c r="D160" s="90"/>
      <c r="E160" s="90"/>
      <c r="F160" s="90"/>
      <c r="G160" s="90"/>
      <c r="H160" s="90"/>
      <c r="I160" s="90"/>
      <c r="J160" s="90"/>
      <c r="K160" s="90"/>
      <c r="L160" s="92"/>
      <c r="M160" s="164"/>
      <c r="N160" s="165"/>
      <c r="O160" s="176"/>
      <c r="P160" s="177"/>
      <c r="Q160" s="178"/>
      <c r="R160" s="179"/>
      <c r="S160" s="180"/>
      <c r="T160" s="184"/>
      <c r="U160" s="185"/>
      <c r="V160" s="188"/>
      <c r="W160" s="189"/>
      <c r="X160" s="191"/>
      <c r="Y160" s="190"/>
      <c r="Z160" s="175"/>
      <c r="AA160" s="191"/>
      <c r="AB160" s="190"/>
      <c r="AC160" s="175"/>
      <c r="AD160" s="410"/>
      <c r="AE160" s="175">
        <f t="shared" si="21"/>
        <v>0</v>
      </c>
    </row>
    <row r="161" spans="1:31">
      <c r="A161" s="90"/>
      <c r="B161" s="91"/>
      <c r="C161" s="90"/>
      <c r="D161" s="90"/>
      <c r="E161" s="90"/>
      <c r="F161" s="90"/>
      <c r="G161" s="90"/>
      <c r="H161" s="90"/>
      <c r="I161" s="90"/>
      <c r="J161" s="90"/>
      <c r="K161" s="90"/>
      <c r="L161" s="92"/>
      <c r="M161" s="164"/>
      <c r="N161" s="165"/>
      <c r="O161" s="176"/>
      <c r="P161" s="177"/>
      <c r="Q161" s="178"/>
      <c r="R161" s="179"/>
      <c r="S161" s="180"/>
      <c r="T161" s="184"/>
      <c r="U161" s="185"/>
      <c r="V161" s="188"/>
      <c r="W161" s="189"/>
      <c r="X161" s="191"/>
      <c r="Y161" s="190"/>
      <c r="Z161" s="175"/>
      <c r="AA161" s="191"/>
      <c r="AB161" s="190"/>
      <c r="AC161" s="175"/>
      <c r="AD161" s="410"/>
      <c r="AE161" s="175">
        <f t="shared" si="21"/>
        <v>0</v>
      </c>
    </row>
    <row r="162" spans="1:31">
      <c r="A162" s="90"/>
      <c r="B162" s="91"/>
      <c r="C162" s="90"/>
      <c r="D162" s="90"/>
      <c r="E162" s="90"/>
      <c r="F162" s="90"/>
      <c r="G162" s="90"/>
      <c r="H162" s="90"/>
      <c r="I162" s="90"/>
      <c r="J162" s="90"/>
      <c r="K162" s="90"/>
      <c r="L162" s="92"/>
      <c r="M162" s="164"/>
      <c r="N162" s="165"/>
      <c r="O162" s="176"/>
      <c r="P162" s="177"/>
      <c r="Q162" s="178"/>
      <c r="R162" s="179"/>
      <c r="S162" s="180"/>
      <c r="T162" s="184"/>
      <c r="U162" s="185"/>
      <c r="V162" s="188"/>
      <c r="W162" s="189"/>
      <c r="X162" s="191"/>
      <c r="Y162" s="190"/>
      <c r="Z162" s="175"/>
      <c r="AA162" s="191"/>
      <c r="AB162" s="190"/>
      <c r="AC162" s="175"/>
      <c r="AD162" s="410"/>
      <c r="AE162" s="175">
        <f t="shared" ref="AE162" si="24">IF($L162="Business value",V162*X162,0)</f>
        <v>0</v>
      </c>
    </row>
    <row r="163" spans="1:31">
      <c r="A163" s="90"/>
      <c r="B163" s="91"/>
      <c r="C163" s="90"/>
      <c r="D163" s="90"/>
      <c r="E163" s="90"/>
      <c r="F163" s="90"/>
      <c r="G163" s="90"/>
      <c r="H163" s="90"/>
      <c r="I163" s="90"/>
      <c r="J163" s="92"/>
      <c r="K163" s="90"/>
      <c r="L163" s="92"/>
      <c r="M163" s="164"/>
      <c r="N163" s="165"/>
      <c r="O163" s="176"/>
      <c r="P163" s="176"/>
      <c r="Q163" s="176"/>
      <c r="R163" s="179"/>
      <c r="S163" s="180"/>
      <c r="T163" s="181"/>
      <c r="U163" s="182"/>
      <c r="V163" s="187"/>
      <c r="W163" s="186"/>
      <c r="X163" s="191"/>
      <c r="Y163" s="190"/>
      <c r="Z163" s="175"/>
      <c r="AA163" s="191"/>
      <c r="AB163" s="190"/>
      <c r="AC163" s="175"/>
      <c r="AD163" s="410"/>
      <c r="AE163" s="175">
        <f t="shared" ref="AE163:AE190" si="25">IF($L163="Business value",V163*X163,0)</f>
        <v>0</v>
      </c>
    </row>
    <row r="164" spans="1:31">
      <c r="A164" s="90"/>
      <c r="B164" s="91"/>
      <c r="C164" s="90"/>
      <c r="D164" s="90"/>
      <c r="E164" s="90"/>
      <c r="F164" s="90"/>
      <c r="G164" s="90"/>
      <c r="H164" s="90"/>
      <c r="I164" s="90"/>
      <c r="J164" s="92"/>
      <c r="K164" s="90"/>
      <c r="L164" s="92"/>
      <c r="M164" s="164"/>
      <c r="N164" s="165"/>
      <c r="O164" s="176"/>
      <c r="P164" s="176"/>
      <c r="Q164" s="176"/>
      <c r="R164" s="179"/>
      <c r="S164" s="180"/>
      <c r="T164" s="183"/>
      <c r="U164" s="182"/>
      <c r="V164" s="187"/>
      <c r="W164" s="186"/>
      <c r="X164" s="191"/>
      <c r="Y164" s="190"/>
      <c r="Z164" s="175"/>
      <c r="AA164" s="191"/>
      <c r="AB164" s="190"/>
      <c r="AC164" s="175"/>
      <c r="AD164" s="410"/>
      <c r="AE164" s="175">
        <f t="shared" si="25"/>
        <v>0</v>
      </c>
    </row>
    <row r="165" spans="1:31">
      <c r="A165" s="90"/>
      <c r="B165" s="91"/>
      <c r="C165" s="90"/>
      <c r="D165" s="90"/>
      <c r="E165" s="90"/>
      <c r="F165" s="90"/>
      <c r="G165" s="90"/>
      <c r="H165" s="90"/>
      <c r="I165" s="90"/>
      <c r="J165" s="92"/>
      <c r="K165" s="90"/>
      <c r="L165" s="92"/>
      <c r="M165" s="164"/>
      <c r="N165" s="165"/>
      <c r="O165" s="176"/>
      <c r="P165" s="176"/>
      <c r="Q165" s="176"/>
      <c r="R165" s="179"/>
      <c r="S165" s="180"/>
      <c r="T165" s="183"/>
      <c r="U165" s="182"/>
      <c r="V165" s="187"/>
      <c r="W165" s="186"/>
      <c r="X165" s="191"/>
      <c r="Y165" s="190"/>
      <c r="Z165" s="175"/>
      <c r="AA165" s="191"/>
      <c r="AB165" s="190"/>
      <c r="AC165" s="175"/>
      <c r="AD165" s="410"/>
      <c r="AE165" s="175">
        <f t="shared" si="25"/>
        <v>0</v>
      </c>
    </row>
    <row r="166" spans="1:31">
      <c r="A166" s="90"/>
      <c r="B166" s="91"/>
      <c r="C166" s="90"/>
      <c r="D166" s="90"/>
      <c r="E166" s="90"/>
      <c r="F166" s="90"/>
      <c r="G166" s="90"/>
      <c r="H166" s="90"/>
      <c r="I166" s="90"/>
      <c r="J166" s="92"/>
      <c r="K166" s="90"/>
      <c r="L166" s="92"/>
      <c r="M166" s="164"/>
      <c r="N166" s="165"/>
      <c r="O166" s="176"/>
      <c r="P166" s="176"/>
      <c r="Q166" s="176"/>
      <c r="R166" s="179"/>
      <c r="S166" s="180"/>
      <c r="T166" s="183"/>
      <c r="U166" s="182"/>
      <c r="V166" s="187"/>
      <c r="W166" s="186"/>
      <c r="X166" s="191"/>
      <c r="Y166" s="190"/>
      <c r="Z166" s="175"/>
      <c r="AA166" s="191"/>
      <c r="AB166" s="190"/>
      <c r="AC166" s="175"/>
      <c r="AD166" s="410"/>
      <c r="AE166" s="175">
        <f t="shared" si="25"/>
        <v>0</v>
      </c>
    </row>
    <row r="167" spans="1:31">
      <c r="A167" s="90"/>
      <c r="B167" s="91"/>
      <c r="C167" s="90"/>
      <c r="D167" s="90"/>
      <c r="E167" s="90"/>
      <c r="F167" s="90"/>
      <c r="G167" s="90"/>
      <c r="H167" s="90"/>
      <c r="I167" s="90"/>
      <c r="J167" s="92"/>
      <c r="K167" s="90"/>
      <c r="L167" s="92"/>
      <c r="M167" s="164"/>
      <c r="N167" s="165"/>
      <c r="O167" s="176"/>
      <c r="P167" s="176"/>
      <c r="Q167" s="176"/>
      <c r="R167" s="179"/>
      <c r="S167" s="180"/>
      <c r="T167" s="183"/>
      <c r="U167" s="182"/>
      <c r="V167" s="187"/>
      <c r="W167" s="186"/>
      <c r="X167" s="191"/>
      <c r="Y167" s="190"/>
      <c r="Z167" s="175"/>
      <c r="AA167" s="191"/>
      <c r="AB167" s="190"/>
      <c r="AC167" s="175"/>
      <c r="AD167" s="410"/>
      <c r="AE167" s="175">
        <f t="shared" si="25"/>
        <v>0</v>
      </c>
    </row>
    <row r="168" spans="1:31">
      <c r="A168" s="90"/>
      <c r="B168" s="91"/>
      <c r="C168" s="90"/>
      <c r="D168" s="90"/>
      <c r="E168" s="90"/>
      <c r="F168" s="90"/>
      <c r="G168" s="90"/>
      <c r="H168" s="90"/>
      <c r="I168" s="90"/>
      <c r="J168" s="92"/>
      <c r="K168" s="90"/>
      <c r="L168" s="92"/>
      <c r="M168" s="164"/>
      <c r="N168" s="165"/>
      <c r="O168" s="176"/>
      <c r="P168" s="176"/>
      <c r="Q168" s="176"/>
      <c r="R168" s="179"/>
      <c r="S168" s="180"/>
      <c r="T168" s="183"/>
      <c r="U168" s="182"/>
      <c r="V168" s="187"/>
      <c r="W168" s="186"/>
      <c r="X168" s="191"/>
      <c r="Y168" s="190"/>
      <c r="Z168" s="175"/>
      <c r="AA168" s="191"/>
      <c r="AB168" s="190"/>
      <c r="AC168" s="175"/>
      <c r="AD168" s="410"/>
      <c r="AE168" s="175">
        <f t="shared" si="25"/>
        <v>0</v>
      </c>
    </row>
    <row r="169" spans="1:31">
      <c r="A169" s="90"/>
      <c r="B169" s="91"/>
      <c r="C169" s="90"/>
      <c r="D169" s="90"/>
      <c r="E169" s="90"/>
      <c r="F169" s="90"/>
      <c r="G169" s="90"/>
      <c r="H169" s="90"/>
      <c r="I169" s="90"/>
      <c r="J169" s="90"/>
      <c r="K169" s="90"/>
      <c r="L169" s="92"/>
      <c r="M169" s="164"/>
      <c r="N169" s="165"/>
      <c r="O169" s="176"/>
      <c r="P169" s="176"/>
      <c r="Q169" s="176"/>
      <c r="R169" s="179"/>
      <c r="S169" s="180"/>
      <c r="T169" s="183"/>
      <c r="U169" s="182"/>
      <c r="V169" s="187"/>
      <c r="W169" s="186"/>
      <c r="X169" s="192"/>
      <c r="Y169" s="190"/>
      <c r="Z169" s="175"/>
      <c r="AA169" s="192"/>
      <c r="AB169" s="190"/>
      <c r="AC169" s="175"/>
      <c r="AD169" s="410"/>
      <c r="AE169" s="175">
        <f t="shared" si="25"/>
        <v>0</v>
      </c>
    </row>
    <row r="170" spans="1:31">
      <c r="A170" s="90"/>
      <c r="B170" s="91"/>
      <c r="C170" s="90"/>
      <c r="D170" s="90"/>
      <c r="E170" s="90"/>
      <c r="F170" s="90"/>
      <c r="G170" s="194"/>
      <c r="H170" s="90"/>
      <c r="I170" s="90"/>
      <c r="J170" s="92"/>
      <c r="K170" s="90"/>
      <c r="L170" s="92"/>
      <c r="M170" s="164"/>
      <c r="N170" s="165"/>
      <c r="O170" s="176"/>
      <c r="P170" s="176"/>
      <c r="Q170" s="176"/>
      <c r="R170" s="179"/>
      <c r="S170" s="180"/>
      <c r="T170" s="184"/>
      <c r="U170" s="182"/>
      <c r="V170" s="187"/>
      <c r="W170" s="186"/>
      <c r="X170" s="192"/>
      <c r="Y170" s="190"/>
      <c r="Z170" s="175"/>
      <c r="AA170" s="192"/>
      <c r="AB170" s="190"/>
      <c r="AC170" s="175"/>
      <c r="AD170" s="410"/>
      <c r="AE170" s="175">
        <f t="shared" si="25"/>
        <v>0</v>
      </c>
    </row>
    <row r="171" spans="1:31">
      <c r="A171" s="90"/>
      <c r="B171" s="91"/>
      <c r="C171" s="90"/>
      <c r="D171" s="90"/>
      <c r="E171" s="90"/>
      <c r="F171" s="90"/>
      <c r="G171" s="194"/>
      <c r="H171" s="90"/>
      <c r="I171" s="90"/>
      <c r="J171" s="92"/>
      <c r="K171" s="90"/>
      <c r="L171" s="92"/>
      <c r="M171" s="164"/>
      <c r="N171" s="165"/>
      <c r="O171" s="176"/>
      <c r="P171" s="176"/>
      <c r="Q171" s="176"/>
      <c r="R171" s="179"/>
      <c r="S171" s="180"/>
      <c r="T171" s="184"/>
      <c r="U171" s="182"/>
      <c r="V171" s="187"/>
      <c r="W171" s="186"/>
      <c r="X171" s="192"/>
      <c r="Y171" s="190"/>
      <c r="Z171" s="175"/>
      <c r="AA171" s="192"/>
      <c r="AB171" s="190"/>
      <c r="AC171" s="175"/>
      <c r="AD171" s="410"/>
      <c r="AE171" s="175">
        <f t="shared" si="25"/>
        <v>0</v>
      </c>
    </row>
    <row r="172" spans="1:31">
      <c r="A172" s="90"/>
      <c r="B172" s="91"/>
      <c r="C172" s="90"/>
      <c r="D172" s="90"/>
      <c r="E172" s="90"/>
      <c r="F172" s="90"/>
      <c r="G172" s="194"/>
      <c r="H172" s="90"/>
      <c r="I172" s="90"/>
      <c r="J172" s="92"/>
      <c r="K172" s="90"/>
      <c r="L172" s="92"/>
      <c r="M172" s="164"/>
      <c r="N172" s="165"/>
      <c r="O172" s="176"/>
      <c r="P172" s="176"/>
      <c r="Q172" s="176"/>
      <c r="R172" s="179"/>
      <c r="S172" s="180"/>
      <c r="T172" s="184"/>
      <c r="U172" s="182"/>
      <c r="V172" s="187"/>
      <c r="W172" s="186"/>
      <c r="X172" s="192"/>
      <c r="Y172" s="190"/>
      <c r="Z172" s="175"/>
      <c r="AA172" s="192"/>
      <c r="AB172" s="190"/>
      <c r="AC172" s="175"/>
      <c r="AD172" s="410"/>
      <c r="AE172" s="175">
        <f t="shared" si="25"/>
        <v>0</v>
      </c>
    </row>
    <row r="173" spans="1:31">
      <c r="A173" s="90"/>
      <c r="B173" s="91"/>
      <c r="C173" s="90"/>
      <c r="D173" s="90"/>
      <c r="E173" s="90"/>
      <c r="F173" s="90"/>
      <c r="G173" s="194"/>
      <c r="H173" s="90"/>
      <c r="I173" s="90"/>
      <c r="J173" s="92"/>
      <c r="K173" s="90"/>
      <c r="L173" s="92"/>
      <c r="M173" s="164"/>
      <c r="N173" s="165"/>
      <c r="O173" s="176"/>
      <c r="P173" s="176"/>
      <c r="Q173" s="176"/>
      <c r="R173" s="179"/>
      <c r="S173" s="180"/>
      <c r="T173" s="184"/>
      <c r="U173" s="182"/>
      <c r="V173" s="187"/>
      <c r="W173" s="186"/>
      <c r="X173" s="192"/>
      <c r="Y173" s="190"/>
      <c r="Z173" s="175"/>
      <c r="AA173" s="192"/>
      <c r="AB173" s="190"/>
      <c r="AC173" s="175"/>
      <c r="AD173" s="410"/>
      <c r="AE173" s="175">
        <f t="shared" si="25"/>
        <v>0</v>
      </c>
    </row>
    <row r="174" spans="1:31">
      <c r="A174" s="90"/>
      <c r="B174" s="91"/>
      <c r="C174" s="90"/>
      <c r="D174" s="90"/>
      <c r="E174" s="90"/>
      <c r="F174" s="90"/>
      <c r="G174" s="194"/>
      <c r="H174" s="90"/>
      <c r="I174" s="90"/>
      <c r="J174" s="92"/>
      <c r="K174" s="90"/>
      <c r="L174" s="92"/>
      <c r="M174" s="164"/>
      <c r="N174" s="165"/>
      <c r="O174" s="176"/>
      <c r="P174" s="176"/>
      <c r="Q174" s="176"/>
      <c r="R174" s="179"/>
      <c r="S174" s="180"/>
      <c r="T174" s="184"/>
      <c r="U174" s="182"/>
      <c r="V174" s="187"/>
      <c r="W174" s="186"/>
      <c r="X174" s="192"/>
      <c r="Y174" s="190"/>
      <c r="Z174" s="175"/>
      <c r="AA174" s="192"/>
      <c r="AB174" s="190"/>
      <c r="AC174" s="175"/>
      <c r="AD174" s="410"/>
      <c r="AE174" s="175">
        <f t="shared" si="25"/>
        <v>0</v>
      </c>
    </row>
    <row r="175" spans="1:31">
      <c r="A175" s="90"/>
      <c r="B175" s="91"/>
      <c r="C175" s="90"/>
      <c r="D175" s="90"/>
      <c r="E175" s="90"/>
      <c r="F175" s="90"/>
      <c r="G175" s="194"/>
      <c r="H175" s="90"/>
      <c r="I175" s="90"/>
      <c r="J175" s="92"/>
      <c r="K175" s="90"/>
      <c r="L175" s="92"/>
      <c r="M175" s="164"/>
      <c r="N175" s="165"/>
      <c r="O175" s="176"/>
      <c r="P175" s="176"/>
      <c r="Q175" s="176"/>
      <c r="R175" s="179"/>
      <c r="S175" s="180"/>
      <c r="T175" s="184"/>
      <c r="U175" s="182"/>
      <c r="V175" s="187"/>
      <c r="W175" s="186"/>
      <c r="X175" s="192"/>
      <c r="Y175" s="190"/>
      <c r="Z175" s="175"/>
      <c r="AA175" s="192"/>
      <c r="AB175" s="190"/>
      <c r="AC175" s="175"/>
      <c r="AD175" s="410"/>
      <c r="AE175" s="175">
        <f t="shared" si="25"/>
        <v>0</v>
      </c>
    </row>
    <row r="176" spans="1:31">
      <c r="A176" s="90"/>
      <c r="B176" s="91"/>
      <c r="C176" s="90"/>
      <c r="D176" s="90"/>
      <c r="E176" s="90"/>
      <c r="F176" s="90"/>
      <c r="G176" s="194"/>
      <c r="H176" s="90"/>
      <c r="I176" s="90"/>
      <c r="J176" s="92"/>
      <c r="K176" s="90"/>
      <c r="L176" s="92"/>
      <c r="M176" s="164"/>
      <c r="N176" s="165"/>
      <c r="O176" s="176"/>
      <c r="P176" s="176"/>
      <c r="Q176" s="176"/>
      <c r="R176" s="179"/>
      <c r="S176" s="180"/>
      <c r="T176" s="184"/>
      <c r="U176" s="182"/>
      <c r="V176" s="187"/>
      <c r="W176" s="186"/>
      <c r="X176" s="192"/>
      <c r="Y176" s="190"/>
      <c r="Z176" s="175"/>
      <c r="AA176" s="192"/>
      <c r="AB176" s="190"/>
      <c r="AC176" s="175"/>
      <c r="AD176" s="410"/>
      <c r="AE176" s="175">
        <f t="shared" si="25"/>
        <v>0</v>
      </c>
    </row>
    <row r="177" spans="1:31">
      <c r="A177" s="90"/>
      <c r="B177" s="91"/>
      <c r="C177" s="90"/>
      <c r="D177" s="90"/>
      <c r="E177" s="90"/>
      <c r="F177" s="90"/>
      <c r="G177" s="194"/>
      <c r="H177" s="90"/>
      <c r="I177" s="90"/>
      <c r="J177" s="92"/>
      <c r="K177" s="90"/>
      <c r="L177" s="92"/>
      <c r="M177" s="164"/>
      <c r="N177" s="165"/>
      <c r="O177" s="176"/>
      <c r="P177" s="176"/>
      <c r="Q177" s="176"/>
      <c r="R177" s="179"/>
      <c r="S177" s="180"/>
      <c r="T177" s="184"/>
      <c r="U177" s="182"/>
      <c r="V177" s="187"/>
      <c r="W177" s="186"/>
      <c r="X177" s="192"/>
      <c r="Y177" s="190"/>
      <c r="Z177" s="175"/>
      <c r="AA177" s="192"/>
      <c r="AB177" s="190"/>
      <c r="AC177" s="175"/>
      <c r="AD177" s="410"/>
      <c r="AE177" s="175">
        <f t="shared" si="25"/>
        <v>0</v>
      </c>
    </row>
    <row r="178" spans="1:31">
      <c r="A178" s="90"/>
      <c r="B178" s="91"/>
      <c r="C178" s="90"/>
      <c r="D178" s="90"/>
      <c r="E178" s="90"/>
      <c r="F178" s="90"/>
      <c r="G178" s="194"/>
      <c r="H178" s="90"/>
      <c r="I178" s="90"/>
      <c r="J178" s="92"/>
      <c r="K178" s="90"/>
      <c r="L178" s="92"/>
      <c r="M178" s="164"/>
      <c r="N178" s="165"/>
      <c r="O178" s="176"/>
      <c r="P178" s="176"/>
      <c r="Q178" s="176"/>
      <c r="R178" s="179"/>
      <c r="S178" s="180"/>
      <c r="T178" s="184"/>
      <c r="U178" s="182"/>
      <c r="V178" s="187"/>
      <c r="W178" s="186"/>
      <c r="X178" s="192"/>
      <c r="Y178" s="190"/>
      <c r="Z178" s="175"/>
      <c r="AA178" s="192"/>
      <c r="AB178" s="190"/>
      <c r="AC178" s="175"/>
      <c r="AD178" s="410"/>
      <c r="AE178" s="175">
        <f t="shared" si="25"/>
        <v>0</v>
      </c>
    </row>
    <row r="179" spans="1:31">
      <c r="A179" s="90"/>
      <c r="B179" s="91"/>
      <c r="C179" s="90"/>
      <c r="D179" s="90"/>
      <c r="E179" s="90"/>
      <c r="F179" s="90"/>
      <c r="G179" s="194"/>
      <c r="H179" s="90"/>
      <c r="I179" s="90"/>
      <c r="J179" s="92"/>
      <c r="K179" s="90"/>
      <c r="L179" s="92"/>
      <c r="M179" s="164"/>
      <c r="N179" s="165"/>
      <c r="O179" s="176"/>
      <c r="P179" s="176"/>
      <c r="Q179" s="176"/>
      <c r="R179" s="179"/>
      <c r="S179" s="180"/>
      <c r="T179" s="184"/>
      <c r="U179" s="182"/>
      <c r="V179" s="187"/>
      <c r="W179" s="186"/>
      <c r="X179" s="192"/>
      <c r="Y179" s="190"/>
      <c r="Z179" s="175"/>
      <c r="AA179" s="192"/>
      <c r="AB179" s="190"/>
      <c r="AC179" s="175"/>
      <c r="AD179" s="410"/>
      <c r="AE179" s="175">
        <f t="shared" si="25"/>
        <v>0</v>
      </c>
    </row>
    <row r="180" spans="1:31">
      <c r="A180" s="90"/>
      <c r="B180" s="91"/>
      <c r="C180" s="90"/>
      <c r="D180" s="90"/>
      <c r="E180" s="90"/>
      <c r="F180" s="90"/>
      <c r="G180" s="194"/>
      <c r="H180" s="90"/>
      <c r="I180" s="90"/>
      <c r="J180" s="92"/>
      <c r="K180" s="90"/>
      <c r="L180" s="92"/>
      <c r="M180" s="164"/>
      <c r="N180" s="165"/>
      <c r="O180" s="176"/>
      <c r="P180" s="176"/>
      <c r="Q180" s="176"/>
      <c r="R180" s="179"/>
      <c r="S180" s="180"/>
      <c r="T180" s="184"/>
      <c r="U180" s="182"/>
      <c r="V180" s="187"/>
      <c r="W180" s="186"/>
      <c r="X180" s="192"/>
      <c r="Y180" s="190"/>
      <c r="Z180" s="175"/>
      <c r="AA180" s="192"/>
      <c r="AB180" s="190"/>
      <c r="AC180" s="175"/>
      <c r="AD180" s="410"/>
      <c r="AE180" s="175">
        <f t="shared" si="25"/>
        <v>0</v>
      </c>
    </row>
    <row r="181" spans="1:31">
      <c r="A181" s="90"/>
      <c r="B181" s="91"/>
      <c r="C181" s="90"/>
      <c r="D181" s="90"/>
      <c r="E181" s="90"/>
      <c r="F181" s="90"/>
      <c r="G181" s="194"/>
      <c r="H181" s="90"/>
      <c r="I181" s="90"/>
      <c r="J181" s="92"/>
      <c r="K181" s="90"/>
      <c r="L181" s="92"/>
      <c r="M181" s="164"/>
      <c r="N181" s="165"/>
      <c r="O181" s="176"/>
      <c r="P181" s="176"/>
      <c r="Q181" s="176"/>
      <c r="R181" s="179"/>
      <c r="S181" s="180"/>
      <c r="T181" s="184"/>
      <c r="U181" s="182"/>
      <c r="V181" s="187"/>
      <c r="W181" s="186"/>
      <c r="X181" s="192"/>
      <c r="Y181" s="190"/>
      <c r="Z181" s="175"/>
      <c r="AA181" s="192"/>
      <c r="AB181" s="190"/>
      <c r="AC181" s="175"/>
      <c r="AD181" s="410"/>
      <c r="AE181" s="175">
        <f t="shared" si="25"/>
        <v>0</v>
      </c>
    </row>
    <row r="182" spans="1:31">
      <c r="A182" s="90"/>
      <c r="B182" s="91"/>
      <c r="C182" s="90"/>
      <c r="D182" s="90"/>
      <c r="E182" s="90"/>
      <c r="F182" s="90"/>
      <c r="G182" s="194"/>
      <c r="H182" s="90"/>
      <c r="I182" s="90"/>
      <c r="J182" s="92"/>
      <c r="K182" s="90"/>
      <c r="L182" s="92"/>
      <c r="M182" s="164"/>
      <c r="N182" s="165"/>
      <c r="O182" s="176"/>
      <c r="P182" s="176"/>
      <c r="Q182" s="176"/>
      <c r="R182" s="179"/>
      <c r="S182" s="180"/>
      <c r="T182" s="184"/>
      <c r="U182" s="182"/>
      <c r="V182" s="187"/>
      <c r="W182" s="186"/>
      <c r="X182" s="192"/>
      <c r="Y182" s="190"/>
      <c r="Z182" s="175"/>
      <c r="AA182" s="192"/>
      <c r="AB182" s="190"/>
      <c r="AC182" s="175"/>
      <c r="AD182" s="410"/>
      <c r="AE182" s="175">
        <f t="shared" si="25"/>
        <v>0</v>
      </c>
    </row>
    <row r="183" spans="1:31">
      <c r="A183" s="90"/>
      <c r="B183" s="91"/>
      <c r="C183" s="90"/>
      <c r="D183" s="90"/>
      <c r="E183" s="90"/>
      <c r="F183" s="90"/>
      <c r="G183" s="194"/>
      <c r="H183" s="90"/>
      <c r="I183" s="90"/>
      <c r="J183" s="92"/>
      <c r="K183" s="90"/>
      <c r="L183" s="92"/>
      <c r="M183" s="164"/>
      <c r="N183" s="165"/>
      <c r="O183" s="176"/>
      <c r="P183" s="176"/>
      <c r="Q183" s="176"/>
      <c r="R183" s="179"/>
      <c r="S183" s="180"/>
      <c r="T183" s="184"/>
      <c r="U183" s="182"/>
      <c r="V183" s="187"/>
      <c r="W183" s="186"/>
      <c r="X183" s="192"/>
      <c r="Y183" s="190"/>
      <c r="Z183" s="175"/>
      <c r="AA183" s="192"/>
      <c r="AB183" s="190"/>
      <c r="AC183" s="175"/>
      <c r="AD183" s="410"/>
      <c r="AE183" s="175">
        <f t="shared" si="25"/>
        <v>0</v>
      </c>
    </row>
    <row r="184" spans="1:31">
      <c r="A184" s="90"/>
      <c r="B184" s="91"/>
      <c r="C184" s="90"/>
      <c r="D184" s="90"/>
      <c r="E184" s="90"/>
      <c r="F184" s="90"/>
      <c r="G184" s="194"/>
      <c r="H184" s="90"/>
      <c r="I184" s="90"/>
      <c r="J184" s="92"/>
      <c r="K184" s="90"/>
      <c r="L184" s="92"/>
      <c r="M184" s="164"/>
      <c r="N184" s="165"/>
      <c r="O184" s="176"/>
      <c r="P184" s="176"/>
      <c r="Q184" s="176"/>
      <c r="R184" s="179"/>
      <c r="S184" s="180"/>
      <c r="T184" s="184"/>
      <c r="U184" s="182"/>
      <c r="V184" s="187"/>
      <c r="W184" s="186"/>
      <c r="X184" s="192"/>
      <c r="Y184" s="190"/>
      <c r="Z184" s="175"/>
      <c r="AA184" s="192"/>
      <c r="AB184" s="190"/>
      <c r="AC184" s="175"/>
      <c r="AD184" s="410"/>
      <c r="AE184" s="175">
        <f t="shared" si="25"/>
        <v>0</v>
      </c>
    </row>
    <row r="185" spans="1:31">
      <c r="A185" s="90"/>
      <c r="B185" s="91"/>
      <c r="C185" s="90"/>
      <c r="D185" s="90"/>
      <c r="E185" s="90"/>
      <c r="F185" s="90"/>
      <c r="G185" s="194"/>
      <c r="H185" s="90"/>
      <c r="I185" s="90"/>
      <c r="J185" s="92"/>
      <c r="K185" s="90"/>
      <c r="L185" s="92"/>
      <c r="M185" s="164"/>
      <c r="N185" s="165"/>
      <c r="O185" s="176"/>
      <c r="P185" s="176"/>
      <c r="Q185" s="176"/>
      <c r="R185" s="179"/>
      <c r="S185" s="180"/>
      <c r="T185" s="184"/>
      <c r="U185" s="182"/>
      <c r="V185" s="187"/>
      <c r="W185" s="186"/>
      <c r="X185" s="192"/>
      <c r="Y185" s="190"/>
      <c r="Z185" s="175"/>
      <c r="AA185" s="192"/>
      <c r="AB185" s="190"/>
      <c r="AC185" s="175"/>
      <c r="AD185" s="410"/>
      <c r="AE185" s="175">
        <f t="shared" si="25"/>
        <v>0</v>
      </c>
    </row>
    <row r="186" spans="1:31">
      <c r="A186" s="90"/>
      <c r="B186" s="91"/>
      <c r="C186" s="90"/>
      <c r="D186" s="90"/>
      <c r="E186" s="90"/>
      <c r="F186" s="90"/>
      <c r="G186" s="194"/>
      <c r="H186" s="90"/>
      <c r="I186" s="90"/>
      <c r="J186" s="92"/>
      <c r="K186" s="90"/>
      <c r="L186" s="92"/>
      <c r="M186" s="164"/>
      <c r="N186" s="165"/>
      <c r="O186" s="176"/>
      <c r="P186" s="176"/>
      <c r="Q186" s="176"/>
      <c r="R186" s="179"/>
      <c r="S186" s="180"/>
      <c r="T186" s="184"/>
      <c r="U186" s="182"/>
      <c r="V186" s="187"/>
      <c r="W186" s="186"/>
      <c r="X186" s="192"/>
      <c r="Y186" s="190"/>
      <c r="Z186" s="175"/>
      <c r="AA186" s="192"/>
      <c r="AB186" s="190"/>
      <c r="AC186" s="175"/>
      <c r="AD186" s="410"/>
      <c r="AE186" s="175">
        <f t="shared" si="25"/>
        <v>0</v>
      </c>
    </row>
    <row r="187" spans="1:31">
      <c r="A187" s="90"/>
      <c r="B187" s="91"/>
      <c r="C187" s="90"/>
      <c r="D187" s="90"/>
      <c r="E187" s="90"/>
      <c r="F187" s="90"/>
      <c r="G187" s="194"/>
      <c r="H187" s="90"/>
      <c r="I187" s="90"/>
      <c r="J187" s="92"/>
      <c r="K187" s="90"/>
      <c r="L187" s="92"/>
      <c r="M187" s="164"/>
      <c r="N187" s="165"/>
      <c r="O187" s="176"/>
      <c r="P187" s="176"/>
      <c r="Q187" s="176"/>
      <c r="R187" s="179"/>
      <c r="S187" s="180"/>
      <c r="T187" s="184"/>
      <c r="U187" s="182"/>
      <c r="V187" s="187"/>
      <c r="W187" s="186"/>
      <c r="X187" s="192"/>
      <c r="Y187" s="190"/>
      <c r="Z187" s="175"/>
      <c r="AA187" s="192"/>
      <c r="AB187" s="190"/>
      <c r="AC187" s="175"/>
      <c r="AD187" s="410"/>
      <c r="AE187" s="175">
        <f t="shared" si="25"/>
        <v>0</v>
      </c>
    </row>
    <row r="188" spans="1:31">
      <c r="A188" s="90"/>
      <c r="B188" s="91"/>
      <c r="C188" s="90"/>
      <c r="D188" s="90"/>
      <c r="E188" s="90"/>
      <c r="F188" s="90"/>
      <c r="G188" s="90"/>
      <c r="H188" s="90"/>
      <c r="I188" s="90"/>
      <c r="J188" s="92"/>
      <c r="K188" s="90"/>
      <c r="L188" s="92"/>
      <c r="M188" s="164"/>
      <c r="N188" s="165"/>
      <c r="O188" s="176"/>
      <c r="P188" s="176"/>
      <c r="Q188" s="176"/>
      <c r="R188" s="179"/>
      <c r="S188" s="180"/>
      <c r="T188" s="183"/>
      <c r="U188" s="182"/>
      <c r="V188" s="187"/>
      <c r="W188" s="186"/>
      <c r="X188" s="192"/>
      <c r="Y188" s="190"/>
      <c r="Z188" s="175"/>
      <c r="AA188" s="192"/>
      <c r="AB188" s="190"/>
      <c r="AC188" s="175"/>
      <c r="AD188" s="410"/>
      <c r="AE188" s="175">
        <f t="shared" si="25"/>
        <v>0</v>
      </c>
    </row>
    <row r="189" spans="1:31">
      <c r="A189" s="90"/>
      <c r="B189" s="91"/>
      <c r="C189" s="90"/>
      <c r="D189" s="90"/>
      <c r="E189" s="90"/>
      <c r="F189" s="90"/>
      <c r="G189" s="90"/>
      <c r="H189" s="90"/>
      <c r="I189" s="90"/>
      <c r="J189" s="92"/>
      <c r="K189" s="90"/>
      <c r="L189" s="92"/>
      <c r="M189" s="164"/>
      <c r="N189" s="165"/>
      <c r="O189" s="176"/>
      <c r="P189" s="176"/>
      <c r="Q189" s="176"/>
      <c r="R189" s="179"/>
      <c r="S189" s="180"/>
      <c r="T189" s="183"/>
      <c r="U189" s="182"/>
      <c r="V189" s="187"/>
      <c r="W189" s="186"/>
      <c r="X189" s="192"/>
      <c r="Y189" s="190"/>
      <c r="Z189" s="175"/>
      <c r="AA189" s="192"/>
      <c r="AB189" s="190"/>
      <c r="AC189" s="175"/>
      <c r="AD189" s="410"/>
      <c r="AE189" s="175">
        <f t="shared" si="25"/>
        <v>0</v>
      </c>
    </row>
    <row r="190" spans="1:31">
      <c r="A190" s="90"/>
      <c r="B190" s="91"/>
      <c r="C190" s="90"/>
      <c r="D190" s="90"/>
      <c r="E190" s="90"/>
      <c r="F190" s="90"/>
      <c r="G190" s="90"/>
      <c r="H190" s="90"/>
      <c r="I190" s="90"/>
      <c r="J190" s="92"/>
      <c r="K190" s="90"/>
      <c r="L190" s="92"/>
      <c r="M190" s="164"/>
      <c r="N190" s="165"/>
      <c r="O190" s="176"/>
      <c r="P190" s="176"/>
      <c r="Q190" s="176"/>
      <c r="R190" s="179"/>
      <c r="S190" s="180"/>
      <c r="T190" s="183"/>
      <c r="U190" s="182"/>
      <c r="V190" s="187"/>
      <c r="W190" s="186"/>
      <c r="X190" s="192"/>
      <c r="Y190" s="190"/>
      <c r="Z190" s="175"/>
      <c r="AA190" s="192"/>
      <c r="AB190" s="190"/>
      <c r="AC190" s="175"/>
      <c r="AD190" s="410"/>
      <c r="AE190" s="175">
        <f t="shared" si="25"/>
        <v>0</v>
      </c>
    </row>
  </sheetData>
  <autoFilter ref="A1:AE44" xr:uid="{A5AF67CC-83B5-EC4D-A13C-D4E909F17E70}"/>
  <pageMargins left="0.7" right="0.7" top="0.75" bottom="0.75" header="0.3" footer="0.3"/>
  <pageSetup orientation="portrait" horizontalDpi="0" verticalDpi="0"/>
  <ignoredErrors>
    <ignoredError sqref="A191:C1048576 L1:Q1 AF163:XFD188 AF191:XFD1048576 S1:W1 A1:C1 H1 F191:I1048576 AJ1:XFD2 AJ9:XFD33 K191:Y1048576 Y1"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A927-0353-3E41-9E29-1A01A851EF57}">
  <sheetPr>
    <tabColor theme="0" tint="-4.9989318521683403E-2"/>
  </sheetPr>
  <dimension ref="A1:F239"/>
  <sheetViews>
    <sheetView showGridLines="0" zoomScale="210" workbookViewId="0">
      <selection activeCell="D3" sqref="D3"/>
    </sheetView>
  </sheetViews>
  <sheetFormatPr defaultColWidth="11" defaultRowHeight="15.6"/>
  <cols>
    <col min="3" max="3" width="10.796875" customWidth="1"/>
    <col min="4" max="4" width="14.69921875" customWidth="1"/>
    <col min="5" max="5" width="10.19921875" customWidth="1"/>
    <col min="6" max="6" width="15.5" customWidth="1"/>
  </cols>
  <sheetData>
    <row r="1" spans="1:6" ht="58.2" thickBot="1">
      <c r="A1" s="274" t="s">
        <v>36</v>
      </c>
      <c r="B1" s="275" t="s">
        <v>37</v>
      </c>
      <c r="C1" s="275" t="s">
        <v>2072</v>
      </c>
      <c r="D1" s="275" t="s">
        <v>2048</v>
      </c>
      <c r="E1" s="275" t="s">
        <v>2073</v>
      </c>
      <c r="F1" s="276" t="s">
        <v>2049</v>
      </c>
    </row>
    <row r="2" spans="1:6">
      <c r="A2" s="270" t="s">
        <v>317</v>
      </c>
      <c r="B2" s="267" t="s">
        <v>318</v>
      </c>
      <c r="C2" s="267">
        <v>2023</v>
      </c>
      <c r="D2" s="268">
        <v>66.034599999999998</v>
      </c>
      <c r="E2" s="267">
        <v>2023</v>
      </c>
      <c r="F2" s="272">
        <v>16.940000000000001</v>
      </c>
    </row>
    <row r="3" spans="1:6">
      <c r="A3" s="271" t="s">
        <v>320</v>
      </c>
      <c r="B3" s="5" t="s">
        <v>321</v>
      </c>
      <c r="C3" s="5">
        <v>2023</v>
      </c>
      <c r="D3" s="269">
        <v>79.601900000000001</v>
      </c>
      <c r="E3" s="5">
        <v>2023</v>
      </c>
      <c r="F3" s="273">
        <v>36.277000000000001</v>
      </c>
    </row>
    <row r="4" spans="1:6">
      <c r="A4" s="271" t="s">
        <v>323</v>
      </c>
      <c r="B4" s="5" t="s">
        <v>324</v>
      </c>
      <c r="C4" s="5">
        <v>2023</v>
      </c>
      <c r="D4" s="269">
        <v>76.260999999999996</v>
      </c>
      <c r="E4" s="5">
        <v>2023</v>
      </c>
      <c r="F4" s="273">
        <v>28.189</v>
      </c>
    </row>
    <row r="5" spans="1:6">
      <c r="A5" s="271" t="e">
        <v>#N/A</v>
      </c>
      <c r="B5" s="5" t="s">
        <v>740</v>
      </c>
      <c r="C5" s="5">
        <v>2023</v>
      </c>
      <c r="D5" s="269">
        <v>72.851799999999997</v>
      </c>
      <c r="E5" s="5">
        <v>2023</v>
      </c>
      <c r="F5" s="273">
        <v>28.434999999999999</v>
      </c>
    </row>
    <row r="6" spans="1:6">
      <c r="A6" s="271" t="s">
        <v>688</v>
      </c>
      <c r="B6" s="5" t="s">
        <v>689</v>
      </c>
      <c r="C6" s="5">
        <v>2023</v>
      </c>
      <c r="D6" s="269">
        <v>84.040599999999998</v>
      </c>
      <c r="E6" s="5">
        <v>2023</v>
      </c>
      <c r="F6" s="273">
        <v>43.161999999999999</v>
      </c>
    </row>
    <row r="7" spans="1:6">
      <c r="A7" s="271" t="s">
        <v>326</v>
      </c>
      <c r="B7" s="5" t="s">
        <v>327</v>
      </c>
      <c r="C7" s="5">
        <v>2023</v>
      </c>
      <c r="D7" s="269">
        <v>64.617000000000004</v>
      </c>
      <c r="E7" s="5">
        <v>2023</v>
      </c>
      <c r="F7" s="273">
        <v>16.452000000000002</v>
      </c>
    </row>
    <row r="8" spans="1:6">
      <c r="A8" s="271" t="e">
        <v>#N/A</v>
      </c>
      <c r="B8" s="5" t="s">
        <v>2050</v>
      </c>
      <c r="C8" s="5">
        <v>2023</v>
      </c>
      <c r="D8" s="269">
        <v>79.311499999999995</v>
      </c>
      <c r="E8" s="5">
        <v>2023</v>
      </c>
      <c r="F8" s="273">
        <v>38.012999999999998</v>
      </c>
    </row>
    <row r="9" spans="1:6">
      <c r="A9" s="271" t="s">
        <v>328</v>
      </c>
      <c r="B9" s="5" t="s">
        <v>329</v>
      </c>
      <c r="C9" s="5">
        <v>2023</v>
      </c>
      <c r="D9" s="269">
        <v>77.5976</v>
      </c>
      <c r="E9" s="5">
        <v>2023</v>
      </c>
      <c r="F9" s="273">
        <v>35.485999999999997</v>
      </c>
    </row>
    <row r="10" spans="1:6">
      <c r="A10" s="271" t="s">
        <v>330</v>
      </c>
      <c r="B10" s="5" t="s">
        <v>331</v>
      </c>
      <c r="C10" s="5">
        <v>2023</v>
      </c>
      <c r="D10" s="269">
        <v>77.3947</v>
      </c>
      <c r="E10" s="5">
        <v>2023</v>
      </c>
      <c r="F10" s="273">
        <v>32.122</v>
      </c>
    </row>
    <row r="11" spans="1:6">
      <c r="A11" s="271" t="s">
        <v>332</v>
      </c>
      <c r="B11" s="5" t="s">
        <v>333</v>
      </c>
      <c r="C11" s="5">
        <v>2023</v>
      </c>
      <c r="D11" s="269">
        <v>75.682699999999997</v>
      </c>
      <c r="E11" s="5">
        <v>2023</v>
      </c>
      <c r="F11" s="273">
        <v>35.832000000000001</v>
      </c>
    </row>
    <row r="12" spans="1:6">
      <c r="A12" s="271" t="s">
        <v>686</v>
      </c>
      <c r="B12" s="5" t="s">
        <v>687</v>
      </c>
      <c r="C12" s="5">
        <v>2023</v>
      </c>
      <c r="D12" s="269">
        <v>76.352999999999994</v>
      </c>
      <c r="E12" s="5">
        <v>2023</v>
      </c>
      <c r="F12" s="273">
        <v>41.02</v>
      </c>
    </row>
    <row r="13" spans="1:6">
      <c r="A13" s="271" t="s">
        <v>334</v>
      </c>
      <c r="B13" s="5" t="s">
        <v>335</v>
      </c>
      <c r="C13" s="5">
        <v>2023</v>
      </c>
      <c r="D13" s="269">
        <v>83.922799999999995</v>
      </c>
      <c r="E13" s="5">
        <v>2023</v>
      </c>
      <c r="F13" s="273">
        <v>37.750999999999998</v>
      </c>
    </row>
    <row r="14" spans="1:6">
      <c r="A14" s="271" t="s">
        <v>336</v>
      </c>
      <c r="B14" s="5" t="s">
        <v>337</v>
      </c>
      <c r="C14" s="5">
        <v>2023</v>
      </c>
      <c r="D14" s="269">
        <v>81.9559</v>
      </c>
      <c r="E14" s="5">
        <v>2023</v>
      </c>
      <c r="F14" s="273">
        <v>43.085999999999999</v>
      </c>
    </row>
    <row r="15" spans="1:6">
      <c r="A15" s="271" t="s">
        <v>338</v>
      </c>
      <c r="B15" s="5" t="s">
        <v>339</v>
      </c>
      <c r="C15" s="5">
        <v>2023</v>
      </c>
      <c r="D15" s="269">
        <v>74.428600000000003</v>
      </c>
      <c r="E15" s="5">
        <v>2023</v>
      </c>
      <c r="F15" s="273">
        <v>32.595999999999997</v>
      </c>
    </row>
    <row r="16" spans="1:6">
      <c r="A16" s="271" t="s">
        <v>340</v>
      </c>
      <c r="B16" s="5" t="s">
        <v>341</v>
      </c>
      <c r="C16" s="5">
        <v>2023</v>
      </c>
      <c r="D16" s="269">
        <v>74.5518</v>
      </c>
      <c r="E16" s="5">
        <v>2023</v>
      </c>
      <c r="F16" s="273">
        <v>34.597000000000001</v>
      </c>
    </row>
    <row r="17" spans="1:6">
      <c r="A17" s="271" t="s">
        <v>690</v>
      </c>
      <c r="B17" s="5" t="s">
        <v>691</v>
      </c>
      <c r="C17" s="5">
        <v>2023</v>
      </c>
      <c r="D17" s="269">
        <v>81.283500000000004</v>
      </c>
      <c r="E17" s="5">
        <v>2023</v>
      </c>
      <c r="F17" s="273">
        <v>32.875999999999998</v>
      </c>
    </row>
    <row r="18" spans="1:6">
      <c r="A18" s="271" t="s">
        <v>342</v>
      </c>
      <c r="B18" s="5" t="s">
        <v>343</v>
      </c>
      <c r="C18" s="5">
        <v>2023</v>
      </c>
      <c r="D18" s="269">
        <v>74.672300000000007</v>
      </c>
      <c r="E18" s="5">
        <v>2023</v>
      </c>
      <c r="F18" s="273">
        <v>25.324999999999999</v>
      </c>
    </row>
    <row r="19" spans="1:6">
      <c r="A19" s="271" t="s">
        <v>344</v>
      </c>
      <c r="B19" s="5" t="s">
        <v>345</v>
      </c>
      <c r="C19" s="5">
        <v>2023</v>
      </c>
      <c r="D19" s="269">
        <v>76.178200000000004</v>
      </c>
      <c r="E19" s="5">
        <v>2023</v>
      </c>
      <c r="F19" s="273">
        <v>38.905000000000001</v>
      </c>
    </row>
    <row r="20" spans="1:6">
      <c r="A20" s="271" t="s">
        <v>346</v>
      </c>
      <c r="B20" s="5" t="s">
        <v>347</v>
      </c>
      <c r="C20" s="5">
        <v>2023</v>
      </c>
      <c r="D20" s="269">
        <v>74.433899999999994</v>
      </c>
      <c r="E20" s="5">
        <v>2023</v>
      </c>
      <c r="F20" s="273">
        <v>40.534999999999997</v>
      </c>
    </row>
    <row r="21" spans="1:6">
      <c r="A21" s="271" t="s">
        <v>348</v>
      </c>
      <c r="B21" s="5" t="s">
        <v>349</v>
      </c>
      <c r="C21" s="5">
        <v>2023</v>
      </c>
      <c r="D21" s="269">
        <v>82.114999999999995</v>
      </c>
      <c r="E21" s="5">
        <v>2023</v>
      </c>
      <c r="F21" s="273">
        <v>41.44</v>
      </c>
    </row>
    <row r="22" spans="1:6">
      <c r="A22" s="271" t="s">
        <v>350</v>
      </c>
      <c r="B22" s="5" t="s">
        <v>351</v>
      </c>
      <c r="C22" s="5">
        <v>2023</v>
      </c>
      <c r="D22" s="269">
        <v>73.565600000000003</v>
      </c>
      <c r="E22" s="5">
        <v>2023</v>
      </c>
      <c r="F22" s="273">
        <v>25.946000000000002</v>
      </c>
    </row>
    <row r="23" spans="1:6">
      <c r="A23" s="271" t="s">
        <v>352</v>
      </c>
      <c r="B23" s="5" t="s">
        <v>353</v>
      </c>
      <c r="C23" s="5">
        <v>2023</v>
      </c>
      <c r="D23" s="269">
        <v>60.773800000000001</v>
      </c>
      <c r="E23" s="5">
        <v>2023</v>
      </c>
      <c r="F23" s="273">
        <v>17.771999999999998</v>
      </c>
    </row>
    <row r="24" spans="1:6">
      <c r="A24" s="271" t="s">
        <v>692</v>
      </c>
      <c r="B24" s="5" t="s">
        <v>693</v>
      </c>
      <c r="C24" s="5">
        <v>2023</v>
      </c>
      <c r="D24" s="269">
        <v>82.308899999999994</v>
      </c>
      <c r="E24" s="5">
        <v>2023</v>
      </c>
      <c r="F24" s="273">
        <v>45.14</v>
      </c>
    </row>
    <row r="25" spans="1:6">
      <c r="A25" s="271" t="s">
        <v>354</v>
      </c>
      <c r="B25" s="5" t="s">
        <v>355</v>
      </c>
      <c r="C25" s="5">
        <v>2023</v>
      </c>
      <c r="D25" s="269">
        <v>72.975300000000004</v>
      </c>
      <c r="E25" s="5">
        <v>2023</v>
      </c>
      <c r="F25" s="273">
        <v>29.388000000000002</v>
      </c>
    </row>
    <row r="26" spans="1:6">
      <c r="A26" s="271" t="s">
        <v>356</v>
      </c>
      <c r="B26" s="5" t="s">
        <v>357</v>
      </c>
      <c r="C26" s="5">
        <v>2023</v>
      </c>
      <c r="D26" s="269">
        <v>68.581400000000002</v>
      </c>
      <c r="E26" s="5">
        <v>2023</v>
      </c>
      <c r="F26" s="273">
        <v>24.664000000000001</v>
      </c>
    </row>
    <row r="27" spans="1:6">
      <c r="A27" s="271" t="e">
        <v>#N/A</v>
      </c>
      <c r="B27" s="5" t="s">
        <v>2051</v>
      </c>
      <c r="C27" s="5">
        <v>2023</v>
      </c>
      <c r="D27" s="269">
        <v>77.435500000000005</v>
      </c>
      <c r="E27" s="5">
        <v>2023</v>
      </c>
      <c r="F27" s="273">
        <v>39.664999999999999</v>
      </c>
    </row>
    <row r="28" spans="1:6">
      <c r="A28" s="271" t="s">
        <v>358</v>
      </c>
      <c r="B28" s="5" t="s">
        <v>359</v>
      </c>
      <c r="C28" s="5">
        <v>2023</v>
      </c>
      <c r="D28" s="269">
        <v>77.850399999999993</v>
      </c>
      <c r="E28" s="5">
        <v>2023</v>
      </c>
      <c r="F28" s="273">
        <v>44.914999999999999</v>
      </c>
    </row>
    <row r="29" spans="1:6">
      <c r="A29" s="271" t="s">
        <v>360</v>
      </c>
      <c r="B29" s="5" t="s">
        <v>361</v>
      </c>
      <c r="C29" s="5">
        <v>2023</v>
      </c>
      <c r="D29" s="269">
        <v>69.1631</v>
      </c>
      <c r="E29" s="5">
        <v>2023</v>
      </c>
      <c r="F29" s="273">
        <v>22.882000000000001</v>
      </c>
    </row>
    <row r="30" spans="1:6">
      <c r="A30" s="271" t="s">
        <v>362</v>
      </c>
      <c r="B30" s="5" t="s">
        <v>363</v>
      </c>
      <c r="C30" s="5">
        <v>2023</v>
      </c>
      <c r="D30" s="269">
        <v>75.848200000000006</v>
      </c>
      <c r="E30" s="5">
        <v>2023</v>
      </c>
      <c r="F30" s="273">
        <v>33.942</v>
      </c>
    </row>
    <row r="31" spans="1:6">
      <c r="A31" s="271" t="s">
        <v>720</v>
      </c>
      <c r="B31" s="5" t="s">
        <v>721</v>
      </c>
      <c r="C31" s="5">
        <v>2023</v>
      </c>
      <c r="D31" s="269">
        <v>77.275800000000004</v>
      </c>
      <c r="E31" s="5">
        <v>2023</v>
      </c>
      <c r="F31" s="273">
        <v>37.545999999999999</v>
      </c>
    </row>
    <row r="32" spans="1:6">
      <c r="A32" s="271" t="s">
        <v>364</v>
      </c>
      <c r="B32" s="5" t="s">
        <v>365</v>
      </c>
      <c r="C32" s="5">
        <v>2023</v>
      </c>
      <c r="D32" s="269">
        <v>75.326599999999999</v>
      </c>
      <c r="E32" s="5">
        <v>2023</v>
      </c>
      <c r="F32" s="273">
        <v>31.76</v>
      </c>
    </row>
    <row r="33" spans="1:6">
      <c r="A33" s="271" t="s">
        <v>366</v>
      </c>
      <c r="B33" s="5" t="s">
        <v>367</v>
      </c>
      <c r="C33" s="5">
        <v>2023</v>
      </c>
      <c r="D33" s="269">
        <v>75.636300000000006</v>
      </c>
      <c r="E33" s="5">
        <v>2023</v>
      </c>
      <c r="F33" s="273">
        <v>44.314</v>
      </c>
    </row>
    <row r="34" spans="1:6">
      <c r="A34" s="271" t="s">
        <v>368</v>
      </c>
      <c r="B34" s="5" t="s">
        <v>369</v>
      </c>
      <c r="C34" s="5">
        <v>2023</v>
      </c>
      <c r="D34" s="269">
        <v>61.091999999999999</v>
      </c>
      <c r="E34" s="5">
        <v>2023</v>
      </c>
      <c r="F34" s="273">
        <v>17.254000000000001</v>
      </c>
    </row>
    <row r="35" spans="1:6">
      <c r="A35" s="271" t="s">
        <v>370</v>
      </c>
      <c r="B35" s="5" t="s">
        <v>371</v>
      </c>
      <c r="C35" s="5">
        <v>2023</v>
      </c>
      <c r="D35" s="269">
        <v>63.6511</v>
      </c>
      <c r="E35" s="5">
        <v>2023</v>
      </c>
      <c r="F35" s="273">
        <v>15.901999999999999</v>
      </c>
    </row>
    <row r="36" spans="1:6">
      <c r="A36" s="271" t="s">
        <v>374</v>
      </c>
      <c r="B36" s="5" t="s">
        <v>375</v>
      </c>
      <c r="C36" s="5">
        <v>2023</v>
      </c>
      <c r="D36" s="269">
        <v>70.667500000000004</v>
      </c>
      <c r="E36" s="5">
        <v>2023</v>
      </c>
      <c r="F36" s="273">
        <v>25.844000000000001</v>
      </c>
    </row>
    <row r="37" spans="1:6">
      <c r="A37" s="271" t="s">
        <v>376</v>
      </c>
      <c r="B37" s="5" t="s">
        <v>377</v>
      </c>
      <c r="C37" s="5">
        <v>2023</v>
      </c>
      <c r="D37" s="269">
        <v>63.699599999999997</v>
      </c>
      <c r="E37" s="5">
        <v>2023</v>
      </c>
      <c r="F37" s="273">
        <v>17.751999999999999</v>
      </c>
    </row>
    <row r="38" spans="1:6">
      <c r="A38" s="271" t="s">
        <v>378</v>
      </c>
      <c r="B38" s="5" t="s">
        <v>379</v>
      </c>
      <c r="C38" s="5">
        <v>2023</v>
      </c>
      <c r="D38" s="269">
        <v>82.630200000000002</v>
      </c>
      <c r="E38" s="5">
        <v>2023</v>
      </c>
      <c r="F38" s="273">
        <v>40.343000000000004</v>
      </c>
    </row>
    <row r="39" spans="1:6">
      <c r="A39" s="271" t="s">
        <v>372</v>
      </c>
      <c r="B39" s="5" t="s">
        <v>373</v>
      </c>
      <c r="C39" s="5">
        <v>2023</v>
      </c>
      <c r="D39" s="269">
        <v>76.058700000000002</v>
      </c>
      <c r="E39" s="5">
        <v>2023</v>
      </c>
      <c r="F39" s="273">
        <v>27.87</v>
      </c>
    </row>
    <row r="40" spans="1:6">
      <c r="A40" s="271" t="s">
        <v>694</v>
      </c>
      <c r="B40" s="5" t="s">
        <v>695</v>
      </c>
      <c r="C40" s="5">
        <v>2023</v>
      </c>
      <c r="D40" s="269">
        <v>80.357600000000005</v>
      </c>
      <c r="E40" s="5">
        <v>2023</v>
      </c>
      <c r="F40" s="273">
        <v>37.875</v>
      </c>
    </row>
    <row r="41" spans="1:6">
      <c r="A41" s="271" t="s">
        <v>380</v>
      </c>
      <c r="B41" s="5" t="s">
        <v>381</v>
      </c>
      <c r="C41" s="5">
        <v>2023</v>
      </c>
      <c r="D41" s="269">
        <v>57.407699999999998</v>
      </c>
      <c r="E41" s="5">
        <v>2023</v>
      </c>
      <c r="F41" s="273">
        <v>14.32</v>
      </c>
    </row>
    <row r="42" spans="1:6">
      <c r="A42" s="271" t="s">
        <v>382</v>
      </c>
      <c r="B42" s="5" t="s">
        <v>383</v>
      </c>
      <c r="C42" s="5">
        <v>2023</v>
      </c>
      <c r="D42" s="269">
        <v>55.069200000000002</v>
      </c>
      <c r="E42" s="5">
        <v>2023</v>
      </c>
      <c r="F42" s="273">
        <v>15.401</v>
      </c>
    </row>
    <row r="43" spans="1:6">
      <c r="A43" s="271" t="s">
        <v>384</v>
      </c>
      <c r="B43" s="5" t="s">
        <v>385</v>
      </c>
      <c r="C43" s="5">
        <v>2023</v>
      </c>
      <c r="D43" s="269">
        <v>81.166700000000006</v>
      </c>
      <c r="E43" s="5">
        <v>2023</v>
      </c>
      <c r="F43" s="273">
        <v>35.969000000000001</v>
      </c>
    </row>
    <row r="44" spans="1:6">
      <c r="A44" s="271" t="s">
        <v>386</v>
      </c>
      <c r="B44" s="5" t="s">
        <v>387</v>
      </c>
      <c r="C44" s="5">
        <v>2023</v>
      </c>
      <c r="D44" s="269">
        <v>77.9529</v>
      </c>
      <c r="E44" s="5">
        <v>2023</v>
      </c>
      <c r="F44" s="273">
        <v>39.066000000000003</v>
      </c>
    </row>
    <row r="45" spans="1:6">
      <c r="A45" s="271" t="s">
        <v>388</v>
      </c>
      <c r="B45" s="5" t="s">
        <v>389</v>
      </c>
      <c r="C45" s="5">
        <v>2023</v>
      </c>
      <c r="D45" s="269">
        <v>77.724599999999995</v>
      </c>
      <c r="E45" s="5">
        <v>2023</v>
      </c>
      <c r="F45" s="273">
        <v>31.606000000000002</v>
      </c>
    </row>
    <row r="46" spans="1:6">
      <c r="A46" s="271" t="s">
        <v>390</v>
      </c>
      <c r="B46" s="5" t="s">
        <v>391</v>
      </c>
      <c r="C46" s="5">
        <v>2023</v>
      </c>
      <c r="D46" s="269">
        <v>66.776799999999994</v>
      </c>
      <c r="E46" s="5">
        <v>2023</v>
      </c>
      <c r="F46" s="273">
        <v>20.331</v>
      </c>
    </row>
    <row r="47" spans="1:6">
      <c r="A47" s="271" t="s">
        <v>394</v>
      </c>
      <c r="B47" s="5" t="s">
        <v>395</v>
      </c>
      <c r="C47" s="5">
        <v>2023</v>
      </c>
      <c r="D47" s="269">
        <v>65.772000000000006</v>
      </c>
      <c r="E47" s="5">
        <v>2023</v>
      </c>
      <c r="F47" s="273">
        <v>18.308</v>
      </c>
    </row>
    <row r="48" spans="1:6">
      <c r="A48" s="271" t="e">
        <v>#N/A</v>
      </c>
      <c r="B48" s="5" t="s">
        <v>2052</v>
      </c>
      <c r="C48" s="5">
        <v>2023</v>
      </c>
      <c r="D48" s="269">
        <v>75.281800000000004</v>
      </c>
      <c r="E48" s="5">
        <v>2023</v>
      </c>
      <c r="F48" s="273">
        <v>35.075000000000003</v>
      </c>
    </row>
    <row r="49" spans="1:6">
      <c r="A49" s="271" t="s">
        <v>396</v>
      </c>
      <c r="B49" s="5" t="s">
        <v>397</v>
      </c>
      <c r="C49" s="5">
        <v>2023</v>
      </c>
      <c r="D49" s="269">
        <v>80.799499999999995</v>
      </c>
      <c r="E49" s="5">
        <v>2023</v>
      </c>
      <c r="F49" s="273">
        <v>34.07</v>
      </c>
    </row>
    <row r="50" spans="1:6">
      <c r="A50" s="271" t="s">
        <v>398</v>
      </c>
      <c r="B50" s="5" t="s">
        <v>399</v>
      </c>
      <c r="C50" s="5">
        <v>2023</v>
      </c>
      <c r="D50" s="269">
        <v>61.943800000000003</v>
      </c>
      <c r="E50" s="5">
        <v>2023</v>
      </c>
      <c r="F50" s="273">
        <v>18.097000000000001</v>
      </c>
    </row>
    <row r="51" spans="1:6">
      <c r="A51" s="271" t="s">
        <v>74</v>
      </c>
      <c r="B51" s="5" t="s">
        <v>75</v>
      </c>
      <c r="C51" s="5">
        <v>2023</v>
      </c>
      <c r="D51" s="269">
        <v>78.580299999999994</v>
      </c>
      <c r="E51" s="5">
        <v>2023</v>
      </c>
      <c r="F51" s="273">
        <v>44.761000000000003</v>
      </c>
    </row>
    <row r="52" spans="1:6">
      <c r="A52" s="271" t="s">
        <v>400</v>
      </c>
      <c r="B52" s="5" t="s">
        <v>401</v>
      </c>
      <c r="C52" s="5">
        <v>2023</v>
      </c>
      <c r="D52" s="269">
        <v>78.085499999999996</v>
      </c>
      <c r="E52" s="5">
        <v>2023</v>
      </c>
      <c r="F52" s="273">
        <v>41.709000000000003</v>
      </c>
    </row>
    <row r="53" spans="1:6">
      <c r="A53" s="271" t="e">
        <v>#N/A</v>
      </c>
      <c r="B53" s="5" t="s">
        <v>746</v>
      </c>
      <c r="C53" s="5">
        <v>2023</v>
      </c>
      <c r="D53" s="269">
        <v>76.799599999999998</v>
      </c>
      <c r="E53" s="5">
        <v>2023</v>
      </c>
      <c r="F53" s="273">
        <v>38.231000000000002</v>
      </c>
    </row>
    <row r="54" spans="1:6">
      <c r="A54" s="271" t="s">
        <v>402</v>
      </c>
      <c r="B54" s="5" t="s">
        <v>403</v>
      </c>
      <c r="C54" s="5">
        <v>2023</v>
      </c>
      <c r="D54" s="269">
        <v>81.647999999999996</v>
      </c>
      <c r="E54" s="5">
        <v>2023</v>
      </c>
      <c r="F54" s="273">
        <v>37.756</v>
      </c>
    </row>
    <row r="55" spans="1:6">
      <c r="A55" s="271" t="s">
        <v>404</v>
      </c>
      <c r="B55" s="5" t="s">
        <v>405</v>
      </c>
      <c r="C55" s="5">
        <v>2023</v>
      </c>
      <c r="D55" s="269">
        <v>79.834100000000007</v>
      </c>
      <c r="E55" s="5">
        <v>2023</v>
      </c>
      <c r="F55" s="273">
        <v>42.716000000000001</v>
      </c>
    </row>
    <row r="56" spans="1:6">
      <c r="A56" s="271" t="s">
        <v>392</v>
      </c>
      <c r="B56" s="5" t="s">
        <v>393</v>
      </c>
      <c r="C56" s="5">
        <v>2023</v>
      </c>
      <c r="D56" s="269">
        <v>61.895000000000003</v>
      </c>
      <c r="E56" s="5">
        <v>2023</v>
      </c>
      <c r="F56" s="273">
        <v>15.768000000000001</v>
      </c>
    </row>
    <row r="57" spans="1:6">
      <c r="A57" s="271" t="s">
        <v>406</v>
      </c>
      <c r="B57" s="5" t="s">
        <v>407</v>
      </c>
      <c r="C57" s="5">
        <v>2023</v>
      </c>
      <c r="D57" s="269">
        <v>81.9328</v>
      </c>
      <c r="E57" s="5">
        <v>2023</v>
      </c>
      <c r="F57" s="273">
        <v>41.249000000000002</v>
      </c>
    </row>
    <row r="58" spans="1:6">
      <c r="A58" s="271" t="s">
        <v>408</v>
      </c>
      <c r="B58" s="5" t="s">
        <v>409</v>
      </c>
      <c r="C58" s="5">
        <v>2023</v>
      </c>
      <c r="D58" s="269">
        <v>65.986500000000007</v>
      </c>
      <c r="E58" s="5">
        <v>2023</v>
      </c>
      <c r="F58" s="273">
        <v>24.388999999999999</v>
      </c>
    </row>
    <row r="59" spans="1:6">
      <c r="A59" s="271" t="s">
        <v>410</v>
      </c>
      <c r="B59" s="5" t="s">
        <v>411</v>
      </c>
      <c r="C59" s="5">
        <v>2023</v>
      </c>
      <c r="D59" s="269">
        <v>71.132499999999993</v>
      </c>
      <c r="E59" s="5">
        <v>2023</v>
      </c>
      <c r="F59" s="273">
        <v>35.618000000000002</v>
      </c>
    </row>
    <row r="60" spans="1:6">
      <c r="A60" s="271" t="s">
        <v>412</v>
      </c>
      <c r="B60" s="5" t="s">
        <v>413</v>
      </c>
      <c r="C60" s="5">
        <v>2023</v>
      </c>
      <c r="D60" s="269">
        <v>73.720100000000002</v>
      </c>
      <c r="E60" s="5">
        <v>2023</v>
      </c>
      <c r="F60" s="273">
        <v>27.652999999999999</v>
      </c>
    </row>
    <row r="61" spans="1:6">
      <c r="A61" s="271" t="s">
        <v>642</v>
      </c>
      <c r="B61" s="5" t="s">
        <v>643</v>
      </c>
      <c r="C61" s="5">
        <v>2023</v>
      </c>
      <c r="D61" s="269">
        <v>67.689400000000006</v>
      </c>
      <c r="E61" s="5">
        <v>2023</v>
      </c>
      <c r="F61" s="273">
        <v>20.969000000000001</v>
      </c>
    </row>
    <row r="62" spans="1:6">
      <c r="A62" s="271" t="s">
        <v>414</v>
      </c>
      <c r="B62" s="5" t="s">
        <v>415</v>
      </c>
      <c r="C62" s="5">
        <v>2023</v>
      </c>
      <c r="D62" s="269">
        <v>77.392399999999995</v>
      </c>
      <c r="E62" s="5">
        <v>2023</v>
      </c>
      <c r="F62" s="273">
        <v>28.405999999999999</v>
      </c>
    </row>
    <row r="63" spans="1:6">
      <c r="A63" s="271" t="s">
        <v>416</v>
      </c>
      <c r="B63" s="5" t="s">
        <v>417</v>
      </c>
      <c r="C63" s="5">
        <v>2023</v>
      </c>
      <c r="D63" s="269">
        <v>71.633499999999998</v>
      </c>
      <c r="E63" s="5">
        <v>2023</v>
      </c>
      <c r="F63" s="273">
        <v>24.027999999999999</v>
      </c>
    </row>
    <row r="64" spans="1:6">
      <c r="A64" s="271" t="s">
        <v>418</v>
      </c>
      <c r="B64" s="5" t="s">
        <v>419</v>
      </c>
      <c r="C64" s="5">
        <v>2023</v>
      </c>
      <c r="D64" s="269">
        <v>72.099299999999999</v>
      </c>
      <c r="E64" s="5">
        <v>2023</v>
      </c>
      <c r="F64" s="273">
        <v>26.956</v>
      </c>
    </row>
    <row r="65" spans="1:6">
      <c r="A65" s="271" t="s">
        <v>420</v>
      </c>
      <c r="B65" s="5" t="s">
        <v>421</v>
      </c>
      <c r="C65" s="5">
        <v>2023</v>
      </c>
      <c r="D65" s="269">
        <v>63.707099999999997</v>
      </c>
      <c r="E65" s="5">
        <v>2023</v>
      </c>
      <c r="F65" s="273">
        <v>20.978999999999999</v>
      </c>
    </row>
    <row r="66" spans="1:6">
      <c r="A66" s="271" t="s">
        <v>696</v>
      </c>
      <c r="B66" s="5" t="s">
        <v>697</v>
      </c>
      <c r="C66" s="5">
        <v>2023</v>
      </c>
      <c r="D66" s="269">
        <v>68.623900000000006</v>
      </c>
      <c r="E66" s="5">
        <v>2023</v>
      </c>
      <c r="F66" s="273">
        <v>18.651</v>
      </c>
    </row>
    <row r="67" spans="1:6">
      <c r="A67" s="271" t="s">
        <v>422</v>
      </c>
      <c r="B67" s="5" t="s">
        <v>423</v>
      </c>
      <c r="C67" s="5">
        <v>2023</v>
      </c>
      <c r="D67" s="269">
        <v>79.153499999999994</v>
      </c>
      <c r="E67" s="5">
        <v>2023</v>
      </c>
      <c r="F67" s="273">
        <v>41.89</v>
      </c>
    </row>
    <row r="68" spans="1:6">
      <c r="A68" s="271" t="s">
        <v>626</v>
      </c>
      <c r="B68" s="5" t="s">
        <v>627</v>
      </c>
      <c r="C68" s="5">
        <v>2023</v>
      </c>
      <c r="D68" s="269">
        <v>64.122699999999995</v>
      </c>
      <c r="E68" s="5">
        <v>2023</v>
      </c>
      <c r="F68" s="273">
        <v>21.995000000000001</v>
      </c>
    </row>
    <row r="69" spans="1:6">
      <c r="A69" s="271" t="s">
        <v>424</v>
      </c>
      <c r="B69" s="5" t="s">
        <v>425</v>
      </c>
      <c r="C69" s="5">
        <v>2023</v>
      </c>
      <c r="D69" s="269">
        <v>67.314999999999998</v>
      </c>
      <c r="E69" s="5">
        <v>2023</v>
      </c>
      <c r="F69" s="273">
        <v>18.733000000000001</v>
      </c>
    </row>
    <row r="70" spans="1:6">
      <c r="A70" s="271" t="e">
        <v>#N/A</v>
      </c>
      <c r="B70" s="5" t="s">
        <v>2053</v>
      </c>
      <c r="C70" s="5">
        <v>2023</v>
      </c>
      <c r="D70" s="269">
        <v>79.213200000000001</v>
      </c>
      <c r="E70" s="5">
        <v>2023</v>
      </c>
      <c r="F70" s="273">
        <v>41.534999999999997</v>
      </c>
    </row>
    <row r="71" spans="1:6">
      <c r="A71" s="271" t="e">
        <v>#N/A</v>
      </c>
      <c r="B71" s="5" t="s">
        <v>749</v>
      </c>
      <c r="C71" s="5">
        <v>2023</v>
      </c>
      <c r="D71" s="269">
        <v>80.179199999999994</v>
      </c>
      <c r="E71" s="5">
        <v>2023</v>
      </c>
      <c r="F71" s="273">
        <v>37.258000000000003</v>
      </c>
    </row>
    <row r="72" spans="1:6">
      <c r="A72" s="271" t="s">
        <v>426</v>
      </c>
      <c r="B72" s="5" t="s">
        <v>427</v>
      </c>
      <c r="C72" s="5">
        <v>2023</v>
      </c>
      <c r="D72" s="269">
        <v>67.315700000000007</v>
      </c>
      <c r="E72" s="5">
        <v>2023</v>
      </c>
      <c r="F72" s="273">
        <v>27.666</v>
      </c>
    </row>
    <row r="73" spans="1:6">
      <c r="A73" s="271" t="s">
        <v>428</v>
      </c>
      <c r="B73" s="5" t="s">
        <v>429</v>
      </c>
      <c r="C73" s="5">
        <v>2023</v>
      </c>
      <c r="D73" s="269">
        <v>81.910200000000003</v>
      </c>
      <c r="E73" s="5">
        <v>2023</v>
      </c>
      <c r="F73" s="273">
        <v>42.789000000000001</v>
      </c>
    </row>
    <row r="74" spans="1:6">
      <c r="A74" s="271" t="s">
        <v>55</v>
      </c>
      <c r="B74" s="5" t="s">
        <v>56</v>
      </c>
      <c r="C74" s="5">
        <v>2023</v>
      </c>
      <c r="D74" s="269">
        <v>83.325299999999999</v>
      </c>
      <c r="E74" s="5">
        <v>2023</v>
      </c>
      <c r="F74" s="273">
        <v>41.817</v>
      </c>
    </row>
    <row r="75" spans="1:6">
      <c r="A75" s="271" t="e">
        <v>#N/A</v>
      </c>
      <c r="B75" s="5" t="s">
        <v>2054</v>
      </c>
      <c r="C75" s="5">
        <v>2023</v>
      </c>
      <c r="D75" s="269">
        <v>76.978099999999998</v>
      </c>
      <c r="E75" s="5">
        <v>2023</v>
      </c>
      <c r="F75" s="273">
        <v>25.221</v>
      </c>
    </row>
    <row r="76" spans="1:6">
      <c r="A76" s="271" t="s">
        <v>714</v>
      </c>
      <c r="B76" s="5" t="s">
        <v>715</v>
      </c>
      <c r="C76" s="5">
        <v>2023</v>
      </c>
      <c r="D76" s="269">
        <v>84.069800000000001</v>
      </c>
      <c r="E76" s="5">
        <v>2023</v>
      </c>
      <c r="F76" s="273">
        <v>34.790999999999997</v>
      </c>
    </row>
    <row r="77" spans="1:6">
      <c r="A77" s="271" t="s">
        <v>430</v>
      </c>
      <c r="B77" s="5" t="s">
        <v>431</v>
      </c>
      <c r="C77" s="5">
        <v>2023</v>
      </c>
      <c r="D77" s="269">
        <v>68.336699999999993</v>
      </c>
      <c r="E77" s="5">
        <v>2023</v>
      </c>
      <c r="F77" s="273">
        <v>21.503</v>
      </c>
    </row>
    <row r="78" spans="1:6">
      <c r="A78" s="271" t="s">
        <v>432</v>
      </c>
      <c r="B78" s="5" t="s">
        <v>433</v>
      </c>
      <c r="C78" s="5">
        <v>2023</v>
      </c>
      <c r="D78" s="269">
        <v>65.860299999999995</v>
      </c>
      <c r="E78" s="5">
        <v>2023</v>
      </c>
      <c r="F78" s="273">
        <v>18.170000000000002</v>
      </c>
    </row>
    <row r="79" spans="1:6">
      <c r="A79" s="271" t="s">
        <v>434</v>
      </c>
      <c r="B79" s="5" t="s">
        <v>435</v>
      </c>
      <c r="C79" s="5">
        <v>2023</v>
      </c>
      <c r="D79" s="269">
        <v>74.496499999999997</v>
      </c>
      <c r="E79" s="5">
        <v>2023</v>
      </c>
      <c r="F79" s="273">
        <v>36.795999999999999</v>
      </c>
    </row>
    <row r="80" spans="1:6">
      <c r="A80" s="271" t="s">
        <v>436</v>
      </c>
      <c r="B80" s="5" t="s">
        <v>437</v>
      </c>
      <c r="C80" s="5">
        <v>2023</v>
      </c>
      <c r="D80" s="269">
        <v>81.377700000000004</v>
      </c>
      <c r="E80" s="5">
        <v>2023</v>
      </c>
      <c r="F80" s="273">
        <v>45.146999999999998</v>
      </c>
    </row>
    <row r="81" spans="1:6">
      <c r="A81" s="271" t="s">
        <v>438</v>
      </c>
      <c r="B81" s="5" t="s">
        <v>439</v>
      </c>
      <c r="C81" s="5">
        <v>2023</v>
      </c>
      <c r="D81" s="269">
        <v>65.497900000000001</v>
      </c>
      <c r="E81" s="5">
        <v>2023</v>
      </c>
      <c r="F81" s="273">
        <v>20.931000000000001</v>
      </c>
    </row>
    <row r="82" spans="1:6">
      <c r="A82" s="271" t="e">
        <v>#N/A</v>
      </c>
      <c r="B82" s="5" t="s">
        <v>751</v>
      </c>
      <c r="C82" s="5">
        <v>2023</v>
      </c>
      <c r="D82" s="269">
        <v>83.552999999999997</v>
      </c>
      <c r="E82" s="5">
        <v>2023</v>
      </c>
      <c r="F82" s="273">
        <v>38.881999999999998</v>
      </c>
    </row>
    <row r="83" spans="1:6">
      <c r="A83" s="271" t="s">
        <v>440</v>
      </c>
      <c r="B83" s="5" t="s">
        <v>441</v>
      </c>
      <c r="C83" s="5">
        <v>2023</v>
      </c>
      <c r="D83" s="269">
        <v>81.856800000000007</v>
      </c>
      <c r="E83" s="5">
        <v>2023</v>
      </c>
      <c r="F83" s="273">
        <v>45.747</v>
      </c>
    </row>
    <row r="84" spans="1:6">
      <c r="A84" s="271" t="s">
        <v>698</v>
      </c>
      <c r="B84" s="5" t="s">
        <v>699</v>
      </c>
      <c r="C84" s="5">
        <v>2023</v>
      </c>
      <c r="D84" s="269">
        <v>70.055000000000007</v>
      </c>
      <c r="E84" s="5">
        <v>2023</v>
      </c>
      <c r="F84" s="273">
        <v>34.228999999999999</v>
      </c>
    </row>
    <row r="85" spans="1:6">
      <c r="A85" s="271" t="s">
        <v>442</v>
      </c>
      <c r="B85" s="5" t="s">
        <v>443</v>
      </c>
      <c r="C85" s="5">
        <v>2023</v>
      </c>
      <c r="D85" s="269">
        <v>75.205200000000005</v>
      </c>
      <c r="E85" s="5">
        <v>2023</v>
      </c>
      <c r="F85" s="273">
        <v>33.384999999999998</v>
      </c>
    </row>
    <row r="86" spans="1:6">
      <c r="A86" s="271" t="e">
        <v>#N/A</v>
      </c>
      <c r="B86" s="5" t="s">
        <v>2055</v>
      </c>
      <c r="C86" s="5">
        <v>2023</v>
      </c>
      <c r="D86" s="269">
        <v>82.050299999999993</v>
      </c>
      <c r="E86" s="5">
        <v>2023</v>
      </c>
      <c r="F86" s="273">
        <v>46.573999999999998</v>
      </c>
    </row>
    <row r="87" spans="1:6">
      <c r="A87" s="271" t="e">
        <v>#N/A</v>
      </c>
      <c r="B87" s="5" t="s">
        <v>753</v>
      </c>
      <c r="C87" s="5">
        <v>2023</v>
      </c>
      <c r="D87" s="269">
        <v>77.209299999999999</v>
      </c>
      <c r="E87" s="5">
        <v>2023</v>
      </c>
      <c r="F87" s="273">
        <v>31.12</v>
      </c>
    </row>
    <row r="88" spans="1:6">
      <c r="A88" s="271" t="s">
        <v>444</v>
      </c>
      <c r="B88" s="5" t="s">
        <v>445</v>
      </c>
      <c r="C88" s="5">
        <v>2023</v>
      </c>
      <c r="D88" s="269">
        <v>72.6023</v>
      </c>
      <c r="E88" s="5">
        <v>2023</v>
      </c>
      <c r="F88" s="273">
        <v>22.63</v>
      </c>
    </row>
    <row r="89" spans="1:6">
      <c r="A89" s="271" t="e">
        <v>#N/A</v>
      </c>
      <c r="B89" s="5" t="s">
        <v>2056</v>
      </c>
      <c r="C89" s="5">
        <v>2023</v>
      </c>
      <c r="D89" s="269">
        <v>83.2744</v>
      </c>
      <c r="E89" s="5">
        <v>2023</v>
      </c>
      <c r="F89" s="273">
        <v>43.978000000000002</v>
      </c>
    </row>
    <row r="90" spans="1:6">
      <c r="A90" s="271" t="s">
        <v>446</v>
      </c>
      <c r="B90" s="5" t="s">
        <v>447</v>
      </c>
      <c r="C90" s="5">
        <v>2023</v>
      </c>
      <c r="D90" s="269">
        <v>60.740499999999997</v>
      </c>
      <c r="E90" s="5">
        <v>2023</v>
      </c>
      <c r="F90" s="273">
        <v>17.984000000000002</v>
      </c>
    </row>
    <row r="91" spans="1:6">
      <c r="A91" s="271" t="s">
        <v>448</v>
      </c>
      <c r="B91" s="5" t="s">
        <v>449</v>
      </c>
      <c r="C91" s="5">
        <v>2023</v>
      </c>
      <c r="D91" s="269">
        <v>64.084900000000005</v>
      </c>
      <c r="E91" s="5">
        <v>2023</v>
      </c>
      <c r="F91" s="273">
        <v>18.943000000000001</v>
      </c>
    </row>
    <row r="92" spans="1:6">
      <c r="A92" s="271" t="s">
        <v>450</v>
      </c>
      <c r="B92" s="5" t="s">
        <v>451</v>
      </c>
      <c r="C92" s="5">
        <v>2023</v>
      </c>
      <c r="D92" s="269">
        <v>70.180199999999999</v>
      </c>
      <c r="E92" s="5">
        <v>2023</v>
      </c>
      <c r="F92" s="273">
        <v>25.606999999999999</v>
      </c>
    </row>
    <row r="93" spans="1:6">
      <c r="A93" s="271" t="s">
        <v>452</v>
      </c>
      <c r="B93" s="5" t="s">
        <v>453</v>
      </c>
      <c r="C93" s="5">
        <v>2023</v>
      </c>
      <c r="D93" s="269">
        <v>64.935599999999994</v>
      </c>
      <c r="E93" s="5">
        <v>2023</v>
      </c>
      <c r="F93" s="273">
        <v>23.510999999999999</v>
      </c>
    </row>
    <row r="94" spans="1:6">
      <c r="A94" s="271" t="s">
        <v>454</v>
      </c>
      <c r="B94" s="5" t="s">
        <v>455</v>
      </c>
      <c r="C94" s="5">
        <v>2023</v>
      </c>
      <c r="D94" s="269">
        <v>72.884200000000007</v>
      </c>
      <c r="E94" s="5">
        <v>2023</v>
      </c>
      <c r="F94" s="273">
        <v>23.545999999999999</v>
      </c>
    </row>
    <row r="95" spans="1:6">
      <c r="A95" s="271" t="s">
        <v>456</v>
      </c>
      <c r="B95" s="5" t="s">
        <v>457</v>
      </c>
      <c r="C95" s="5">
        <v>2023</v>
      </c>
      <c r="D95" s="269">
        <v>85.510599999999997</v>
      </c>
      <c r="E95" s="5">
        <v>2023</v>
      </c>
      <c r="F95" s="273">
        <v>46.155000000000001</v>
      </c>
    </row>
    <row r="96" spans="1:6">
      <c r="A96" s="271" t="s">
        <v>458</v>
      </c>
      <c r="B96" s="5" t="s">
        <v>459</v>
      </c>
      <c r="C96" s="5">
        <v>2023</v>
      </c>
      <c r="D96" s="269">
        <v>77.024000000000001</v>
      </c>
      <c r="E96" s="5">
        <v>2023</v>
      </c>
      <c r="F96" s="273">
        <v>43.317</v>
      </c>
    </row>
    <row r="97" spans="1:6">
      <c r="A97" s="271" t="s">
        <v>460</v>
      </c>
      <c r="B97" s="5" t="s">
        <v>461</v>
      </c>
      <c r="C97" s="5">
        <v>2023</v>
      </c>
      <c r="D97" s="269">
        <v>82.691100000000006</v>
      </c>
      <c r="E97" s="5">
        <v>2023</v>
      </c>
      <c r="F97" s="273">
        <v>35.808</v>
      </c>
    </row>
    <row r="98" spans="1:6">
      <c r="A98" s="271" t="s">
        <v>462</v>
      </c>
      <c r="B98" s="5" t="s">
        <v>463</v>
      </c>
      <c r="C98" s="5">
        <v>2023</v>
      </c>
      <c r="D98" s="269">
        <v>72.002600000000001</v>
      </c>
      <c r="E98" s="5">
        <v>2023</v>
      </c>
      <c r="F98" s="273">
        <v>28.06</v>
      </c>
    </row>
    <row r="99" spans="1:6">
      <c r="A99" s="271" t="s">
        <v>464</v>
      </c>
      <c r="B99" s="5" t="s">
        <v>465</v>
      </c>
      <c r="C99" s="5">
        <v>2023</v>
      </c>
      <c r="D99" s="269">
        <v>71.145700000000005</v>
      </c>
      <c r="E99" s="5">
        <v>2023</v>
      </c>
      <c r="F99" s="273">
        <v>29.831</v>
      </c>
    </row>
    <row r="100" spans="1:6">
      <c r="A100" s="271" t="s">
        <v>466</v>
      </c>
      <c r="B100" s="5" t="s">
        <v>467</v>
      </c>
      <c r="C100" s="5">
        <v>2023</v>
      </c>
      <c r="D100" s="269">
        <v>77.654499999999999</v>
      </c>
      <c r="E100" s="5">
        <v>2023</v>
      </c>
      <c r="F100" s="273">
        <v>32.866</v>
      </c>
    </row>
    <row r="101" spans="1:6">
      <c r="A101" s="271" t="s">
        <v>468</v>
      </c>
      <c r="B101" s="5" t="s">
        <v>469</v>
      </c>
      <c r="C101" s="5">
        <v>2023</v>
      </c>
      <c r="D101" s="269">
        <v>72.324200000000005</v>
      </c>
      <c r="E101" s="5">
        <v>2023</v>
      </c>
      <c r="F101" s="273">
        <v>20.344999999999999</v>
      </c>
    </row>
    <row r="102" spans="1:6">
      <c r="A102" s="271" t="s">
        <v>470</v>
      </c>
      <c r="B102" s="5" t="s">
        <v>471</v>
      </c>
      <c r="C102" s="5">
        <v>2023</v>
      </c>
      <c r="D102" s="269">
        <v>82.411799999999999</v>
      </c>
      <c r="E102" s="5">
        <v>2023</v>
      </c>
      <c r="F102" s="273">
        <v>38.415999999999997</v>
      </c>
    </row>
    <row r="103" spans="1:6">
      <c r="A103" s="271" t="e">
        <v>#N/A</v>
      </c>
      <c r="B103" s="5" t="s">
        <v>755</v>
      </c>
      <c r="C103" s="5">
        <v>2023</v>
      </c>
      <c r="D103" s="269">
        <v>80.998999999999995</v>
      </c>
      <c r="E103" s="5">
        <v>2023</v>
      </c>
      <c r="F103" s="273">
        <v>45.676000000000002</v>
      </c>
    </row>
    <row r="104" spans="1:6">
      <c r="A104" s="271" t="s">
        <v>472</v>
      </c>
      <c r="B104" s="5" t="s">
        <v>473</v>
      </c>
      <c r="C104" s="5">
        <v>2023</v>
      </c>
      <c r="D104" s="269">
        <v>82.408000000000001</v>
      </c>
      <c r="E104" s="5">
        <v>2023</v>
      </c>
      <c r="F104" s="273">
        <v>29.15</v>
      </c>
    </row>
    <row r="105" spans="1:6">
      <c r="A105" s="271" t="s">
        <v>474</v>
      </c>
      <c r="B105" s="5" t="s">
        <v>475</v>
      </c>
      <c r="C105" s="5">
        <v>2023</v>
      </c>
      <c r="D105" s="269">
        <v>83.715699999999998</v>
      </c>
      <c r="E105" s="5">
        <v>2023</v>
      </c>
      <c r="F105" s="273">
        <v>47.460999999999999</v>
      </c>
    </row>
    <row r="106" spans="1:6">
      <c r="A106" s="271" t="s">
        <v>476</v>
      </c>
      <c r="B106" s="5" t="s">
        <v>477</v>
      </c>
      <c r="C106" s="5">
        <v>2023</v>
      </c>
      <c r="D106" s="269">
        <v>71.478899999999996</v>
      </c>
      <c r="E106" s="5">
        <v>2023</v>
      </c>
      <c r="F106" s="273">
        <v>31.672999999999998</v>
      </c>
    </row>
    <row r="107" spans="1:6">
      <c r="A107" s="271" t="s">
        <v>478</v>
      </c>
      <c r="B107" s="5" t="s">
        <v>479</v>
      </c>
      <c r="C107" s="5">
        <v>2023</v>
      </c>
      <c r="D107" s="269">
        <v>84.712299999999999</v>
      </c>
      <c r="E107" s="5">
        <v>2023</v>
      </c>
      <c r="F107" s="273">
        <v>48.957999999999998</v>
      </c>
    </row>
    <row r="108" spans="1:6">
      <c r="A108" s="271" t="e">
        <v>#N/A</v>
      </c>
      <c r="B108" s="5" t="s">
        <v>2057</v>
      </c>
      <c r="C108" s="5">
        <v>2023</v>
      </c>
      <c r="D108" s="269">
        <v>79.707099999999997</v>
      </c>
      <c r="E108" s="5">
        <v>2023</v>
      </c>
      <c r="F108" s="273">
        <v>43.100999999999999</v>
      </c>
    </row>
    <row r="109" spans="1:6">
      <c r="A109" s="271" t="s">
        <v>480</v>
      </c>
      <c r="B109" s="5" t="s">
        <v>481</v>
      </c>
      <c r="C109" s="5">
        <v>2023</v>
      </c>
      <c r="D109" s="269">
        <v>77.814499999999995</v>
      </c>
      <c r="E109" s="5">
        <v>2023</v>
      </c>
      <c r="F109" s="273">
        <v>24.279</v>
      </c>
    </row>
    <row r="110" spans="1:6">
      <c r="A110" s="271" t="s">
        <v>482</v>
      </c>
      <c r="B110" s="5" t="s">
        <v>483</v>
      </c>
      <c r="C110" s="5">
        <v>2023</v>
      </c>
      <c r="D110" s="269">
        <v>74.402100000000004</v>
      </c>
      <c r="E110" s="5">
        <v>2023</v>
      </c>
      <c r="F110" s="273">
        <v>29.463999999999999</v>
      </c>
    </row>
    <row r="111" spans="1:6">
      <c r="A111" s="271" t="s">
        <v>484</v>
      </c>
      <c r="B111" s="5" t="s">
        <v>485</v>
      </c>
      <c r="C111" s="5">
        <v>2023</v>
      </c>
      <c r="D111" s="269">
        <v>63.645899999999997</v>
      </c>
      <c r="E111" s="5">
        <v>2023</v>
      </c>
      <c r="F111" s="273">
        <v>19.526</v>
      </c>
    </row>
    <row r="112" spans="1:6">
      <c r="A112" s="271" t="s">
        <v>486</v>
      </c>
      <c r="B112" s="5" t="s">
        <v>487</v>
      </c>
      <c r="C112" s="5">
        <v>2023</v>
      </c>
      <c r="D112" s="269">
        <v>66.473100000000002</v>
      </c>
      <c r="E112" s="5">
        <v>2023</v>
      </c>
      <c r="F112" s="273">
        <v>22.686</v>
      </c>
    </row>
    <row r="113" spans="1:6">
      <c r="A113" s="271" t="e">
        <v>#N/A</v>
      </c>
      <c r="B113" s="5" t="s">
        <v>2058</v>
      </c>
      <c r="C113" s="5">
        <v>2023</v>
      </c>
      <c r="D113" s="269">
        <v>78.032600000000002</v>
      </c>
      <c r="E113" s="5">
        <v>2023</v>
      </c>
      <c r="F113" s="273">
        <v>31.43</v>
      </c>
    </row>
    <row r="114" spans="1:6">
      <c r="A114" s="271" t="s">
        <v>700</v>
      </c>
      <c r="B114" s="5" t="s">
        <v>701</v>
      </c>
      <c r="C114" s="5">
        <v>2023</v>
      </c>
      <c r="D114" s="269">
        <v>80.404700000000005</v>
      </c>
      <c r="E114" s="5">
        <v>2023</v>
      </c>
      <c r="F114" s="273">
        <v>34.499000000000002</v>
      </c>
    </row>
    <row r="115" spans="1:6">
      <c r="A115" s="271" t="s">
        <v>490</v>
      </c>
      <c r="B115" s="5" t="s">
        <v>491</v>
      </c>
      <c r="C115" s="5">
        <v>2023</v>
      </c>
      <c r="D115" s="269">
        <v>71.677000000000007</v>
      </c>
      <c r="E115" s="5">
        <v>2023</v>
      </c>
      <c r="F115" s="273">
        <v>25.126999999999999</v>
      </c>
    </row>
    <row r="116" spans="1:6">
      <c r="A116" s="271" t="s">
        <v>492</v>
      </c>
      <c r="B116" s="5" t="s">
        <v>493</v>
      </c>
      <c r="C116" s="5">
        <v>2023</v>
      </c>
      <c r="D116" s="269">
        <v>68.963700000000003</v>
      </c>
      <c r="E116" s="5">
        <v>2023</v>
      </c>
      <c r="F116" s="273">
        <v>24.283999999999999</v>
      </c>
    </row>
    <row r="117" spans="1:6">
      <c r="A117" s="271" t="s">
        <v>494</v>
      </c>
      <c r="B117" s="5" t="s">
        <v>495</v>
      </c>
      <c r="C117" s="5">
        <v>2023</v>
      </c>
      <c r="D117" s="269">
        <v>76.189800000000005</v>
      </c>
      <c r="E117" s="5">
        <v>2023</v>
      </c>
      <c r="F117" s="273">
        <v>43.078000000000003</v>
      </c>
    </row>
    <row r="118" spans="1:6">
      <c r="A118" s="271" t="s">
        <v>496</v>
      </c>
      <c r="B118" s="5" t="s">
        <v>497</v>
      </c>
      <c r="C118" s="5">
        <v>2023</v>
      </c>
      <c r="D118" s="269">
        <v>77.816999999999993</v>
      </c>
      <c r="E118" s="5">
        <v>2023</v>
      </c>
      <c r="F118" s="273">
        <v>28.323</v>
      </c>
    </row>
    <row r="119" spans="1:6">
      <c r="A119" s="271" t="s">
        <v>498</v>
      </c>
      <c r="B119" s="5" t="s">
        <v>499</v>
      </c>
      <c r="C119" s="5">
        <v>2023</v>
      </c>
      <c r="D119" s="269">
        <v>57.374899999999997</v>
      </c>
      <c r="E119" s="5">
        <v>2023</v>
      </c>
      <c r="F119" s="273">
        <v>21.427</v>
      </c>
    </row>
    <row r="120" spans="1:6">
      <c r="A120" s="271" t="s">
        <v>500</v>
      </c>
      <c r="B120" s="5" t="s">
        <v>501</v>
      </c>
      <c r="C120" s="5">
        <v>2023</v>
      </c>
      <c r="D120" s="269">
        <v>62.162500000000001</v>
      </c>
      <c r="E120" s="5">
        <v>2023</v>
      </c>
      <c r="F120" s="273">
        <v>18.358000000000001</v>
      </c>
    </row>
    <row r="121" spans="1:6">
      <c r="A121" s="271" t="s">
        <v>702</v>
      </c>
      <c r="B121" s="5" t="s">
        <v>703</v>
      </c>
      <c r="C121" s="5">
        <v>2023</v>
      </c>
      <c r="D121" s="269">
        <v>69.338899999999995</v>
      </c>
      <c r="E121" s="5">
        <v>2023</v>
      </c>
      <c r="F121" s="273">
        <v>27.196000000000002</v>
      </c>
    </row>
    <row r="122" spans="1:6">
      <c r="A122" s="271" t="s">
        <v>704</v>
      </c>
      <c r="B122" s="5" t="s">
        <v>705</v>
      </c>
      <c r="C122" s="5">
        <v>2023</v>
      </c>
      <c r="D122" s="269">
        <v>83.629800000000003</v>
      </c>
      <c r="E122" s="5">
        <v>2023</v>
      </c>
      <c r="F122" s="273">
        <v>44.198999999999998</v>
      </c>
    </row>
    <row r="123" spans="1:6">
      <c r="A123" s="271" t="s">
        <v>502</v>
      </c>
      <c r="B123" s="5" t="s">
        <v>503</v>
      </c>
      <c r="C123" s="5">
        <v>2023</v>
      </c>
      <c r="D123" s="269">
        <v>76.025000000000006</v>
      </c>
      <c r="E123" s="5">
        <v>2023</v>
      </c>
      <c r="F123" s="273">
        <v>42.119</v>
      </c>
    </row>
    <row r="124" spans="1:6">
      <c r="A124" s="271" t="s">
        <v>504</v>
      </c>
      <c r="B124" s="5" t="s">
        <v>505</v>
      </c>
      <c r="C124" s="5">
        <v>2023</v>
      </c>
      <c r="D124" s="269">
        <v>82.229399999999998</v>
      </c>
      <c r="E124" s="5">
        <v>2023</v>
      </c>
      <c r="F124" s="273">
        <v>38.892000000000003</v>
      </c>
    </row>
    <row r="125" spans="1:6">
      <c r="A125" s="271" t="s">
        <v>506</v>
      </c>
      <c r="B125" s="5" t="s">
        <v>507</v>
      </c>
      <c r="C125" s="5">
        <v>2023</v>
      </c>
      <c r="D125" s="269">
        <v>83.0749</v>
      </c>
      <c r="E125" s="5">
        <v>2023</v>
      </c>
      <c r="F125" s="273">
        <v>38.31</v>
      </c>
    </row>
    <row r="126" spans="1:6">
      <c r="A126" s="271" t="s">
        <v>510</v>
      </c>
      <c r="B126" s="5" t="s">
        <v>511</v>
      </c>
      <c r="C126" s="5">
        <v>2023</v>
      </c>
      <c r="D126" s="269">
        <v>63.631700000000002</v>
      </c>
      <c r="E126" s="5">
        <v>2023</v>
      </c>
      <c r="F126" s="273">
        <v>18.876999999999999</v>
      </c>
    </row>
    <row r="127" spans="1:6">
      <c r="A127" s="271" t="s">
        <v>512</v>
      </c>
      <c r="B127" s="5" t="s">
        <v>513</v>
      </c>
      <c r="C127" s="5">
        <v>2023</v>
      </c>
      <c r="D127" s="269">
        <v>67.353499999999997</v>
      </c>
      <c r="E127" s="5">
        <v>2023</v>
      </c>
      <c r="F127" s="273">
        <v>17.579999999999998</v>
      </c>
    </row>
    <row r="128" spans="1:6">
      <c r="A128" s="271" t="s">
        <v>514</v>
      </c>
      <c r="B128" s="5" t="s">
        <v>515</v>
      </c>
      <c r="C128" s="5">
        <v>2023</v>
      </c>
      <c r="D128" s="269">
        <v>76.6571</v>
      </c>
      <c r="E128" s="5">
        <v>2023</v>
      </c>
      <c r="F128" s="273">
        <v>30.058</v>
      </c>
    </row>
    <row r="129" spans="1:6">
      <c r="A129" s="271" t="s">
        <v>516</v>
      </c>
      <c r="B129" s="5" t="s">
        <v>517</v>
      </c>
      <c r="C129" s="5">
        <v>2023</v>
      </c>
      <c r="D129" s="269">
        <v>81.041200000000003</v>
      </c>
      <c r="E129" s="5">
        <v>2023</v>
      </c>
      <c r="F129" s="273">
        <v>31.123999999999999</v>
      </c>
    </row>
    <row r="130" spans="1:6">
      <c r="A130" s="271" t="s">
        <v>518</v>
      </c>
      <c r="B130" s="5" t="s">
        <v>519</v>
      </c>
      <c r="C130" s="5">
        <v>2023</v>
      </c>
      <c r="D130" s="269">
        <v>60.439399999999999</v>
      </c>
      <c r="E130" s="5">
        <v>2023</v>
      </c>
      <c r="F130" s="273">
        <v>15.465999999999999</v>
      </c>
    </row>
    <row r="131" spans="1:6">
      <c r="A131" s="271" t="s">
        <v>520</v>
      </c>
      <c r="B131" s="5" t="s">
        <v>521</v>
      </c>
      <c r="C131" s="5">
        <v>2023</v>
      </c>
      <c r="D131" s="269">
        <v>83.298900000000003</v>
      </c>
      <c r="E131" s="5">
        <v>2023</v>
      </c>
      <c r="F131" s="273">
        <v>40.280999999999999</v>
      </c>
    </row>
    <row r="132" spans="1:6">
      <c r="A132" s="271" t="e">
        <v>#N/A</v>
      </c>
      <c r="B132" s="5" t="s">
        <v>759</v>
      </c>
      <c r="C132" s="5">
        <v>2023</v>
      </c>
      <c r="D132" s="269">
        <v>66.945400000000006</v>
      </c>
      <c r="E132" s="5">
        <v>2023</v>
      </c>
      <c r="F132" s="273">
        <v>20.699000000000002</v>
      </c>
    </row>
    <row r="133" spans="1:6">
      <c r="A133" s="271" t="e">
        <v>#N/A</v>
      </c>
      <c r="B133" s="5" t="s">
        <v>2059</v>
      </c>
      <c r="C133" s="5">
        <v>2023</v>
      </c>
      <c r="D133" s="269">
        <v>82.565100000000001</v>
      </c>
      <c r="E133" s="5">
        <v>2023</v>
      </c>
      <c r="F133" s="273">
        <v>48.787999999999997</v>
      </c>
    </row>
    <row r="134" spans="1:6">
      <c r="A134" s="271" t="s">
        <v>522</v>
      </c>
      <c r="B134" s="5" t="s">
        <v>523</v>
      </c>
      <c r="C134" s="5">
        <v>2023</v>
      </c>
      <c r="D134" s="269">
        <v>68.483599999999996</v>
      </c>
      <c r="E134" s="5">
        <v>2023</v>
      </c>
      <c r="F134" s="273">
        <v>17.119</v>
      </c>
    </row>
    <row r="135" spans="1:6">
      <c r="A135" s="271" t="s">
        <v>524</v>
      </c>
      <c r="B135" s="5" t="s">
        <v>525</v>
      </c>
      <c r="C135" s="5">
        <v>2023</v>
      </c>
      <c r="D135" s="269">
        <v>74.926299999999998</v>
      </c>
      <c r="E135" s="5">
        <v>2023</v>
      </c>
      <c r="F135" s="273">
        <v>36.933</v>
      </c>
    </row>
    <row r="136" spans="1:6">
      <c r="A136" s="271" t="e">
        <v>#N/A</v>
      </c>
      <c r="B136" s="5" t="s">
        <v>2060</v>
      </c>
      <c r="C136" s="5">
        <v>2023</v>
      </c>
      <c r="D136" s="269">
        <v>76.054400000000001</v>
      </c>
      <c r="E136" s="5">
        <v>2023</v>
      </c>
      <c r="F136" s="273">
        <v>16.786000000000001</v>
      </c>
    </row>
    <row r="137" spans="1:6">
      <c r="A137" s="271" t="s">
        <v>526</v>
      </c>
      <c r="B137" s="5" t="s">
        <v>527</v>
      </c>
      <c r="C137" s="5">
        <v>2023</v>
      </c>
      <c r="D137" s="269">
        <v>75.069000000000003</v>
      </c>
      <c r="E137" s="5">
        <v>2023</v>
      </c>
      <c r="F137" s="273">
        <v>28.885999999999999</v>
      </c>
    </row>
    <row r="138" spans="1:6">
      <c r="A138" s="271" t="s">
        <v>528</v>
      </c>
      <c r="B138" s="5" t="s">
        <v>529</v>
      </c>
      <c r="C138" s="5">
        <v>2023</v>
      </c>
      <c r="D138" s="269">
        <v>67.198300000000003</v>
      </c>
      <c r="E138" s="5">
        <v>2023</v>
      </c>
      <c r="F138" s="273">
        <v>22.85</v>
      </c>
    </row>
    <row r="139" spans="1:6">
      <c r="A139" s="271" t="s">
        <v>530</v>
      </c>
      <c r="B139" s="5" t="s">
        <v>531</v>
      </c>
      <c r="C139" s="5">
        <v>2023</v>
      </c>
      <c r="D139" s="269">
        <v>71.198499999999996</v>
      </c>
      <c r="E139" s="5">
        <v>2023</v>
      </c>
      <c r="F139" s="273">
        <v>37.753999999999998</v>
      </c>
    </row>
    <row r="140" spans="1:6">
      <c r="A140" s="271" t="s">
        <v>706</v>
      </c>
      <c r="B140" s="5" t="s">
        <v>707</v>
      </c>
      <c r="C140" s="5">
        <v>2023</v>
      </c>
      <c r="D140" s="269">
        <v>86.372399999999999</v>
      </c>
      <c r="E140" s="5">
        <v>2023</v>
      </c>
      <c r="F140" s="273">
        <v>54.356000000000002</v>
      </c>
    </row>
    <row r="141" spans="1:6">
      <c r="A141" s="271" t="s">
        <v>532</v>
      </c>
      <c r="B141" s="5" t="s">
        <v>533</v>
      </c>
      <c r="C141" s="5">
        <v>2023</v>
      </c>
      <c r="D141" s="269">
        <v>71.734099999999998</v>
      </c>
      <c r="E141" s="5">
        <v>2023</v>
      </c>
      <c r="F141" s="273">
        <v>26.751999999999999</v>
      </c>
    </row>
    <row r="142" spans="1:6">
      <c r="A142" s="271" t="s">
        <v>534</v>
      </c>
      <c r="B142" s="5" t="s">
        <v>535</v>
      </c>
      <c r="C142" s="5">
        <v>2023</v>
      </c>
      <c r="D142" s="269">
        <v>77.0869</v>
      </c>
      <c r="E142" s="5">
        <v>2023</v>
      </c>
      <c r="F142" s="273">
        <v>39.290999999999997</v>
      </c>
    </row>
    <row r="143" spans="1:6">
      <c r="A143" s="271" t="e">
        <v>#N/A</v>
      </c>
      <c r="B143" s="5" t="s">
        <v>2061</v>
      </c>
      <c r="C143" s="5">
        <v>2023</v>
      </c>
      <c r="D143" s="269">
        <v>76.185699999999997</v>
      </c>
      <c r="E143" s="5">
        <v>2023</v>
      </c>
      <c r="F143" s="273">
        <v>41.545999999999999</v>
      </c>
    </row>
    <row r="144" spans="1:6">
      <c r="A144" s="271" t="s">
        <v>536</v>
      </c>
      <c r="B144" s="5" t="s">
        <v>537</v>
      </c>
      <c r="C144" s="5">
        <v>2023</v>
      </c>
      <c r="D144" s="269">
        <v>75.312799999999996</v>
      </c>
      <c r="E144" s="5">
        <v>2023</v>
      </c>
      <c r="F144" s="273">
        <v>29.193999999999999</v>
      </c>
    </row>
    <row r="145" spans="1:6">
      <c r="A145" s="271" t="s">
        <v>538</v>
      </c>
      <c r="B145" s="5" t="s">
        <v>539</v>
      </c>
      <c r="C145" s="5">
        <v>2023</v>
      </c>
      <c r="D145" s="269">
        <v>63.6111</v>
      </c>
      <c r="E145" s="5">
        <v>2023</v>
      </c>
      <c r="F145" s="273">
        <v>16.323</v>
      </c>
    </row>
    <row r="146" spans="1:6">
      <c r="A146" s="271" t="s">
        <v>540</v>
      </c>
      <c r="B146" s="5" t="s">
        <v>541</v>
      </c>
      <c r="C146" s="5">
        <v>2023</v>
      </c>
      <c r="D146" s="269">
        <v>66.888999999999996</v>
      </c>
      <c r="E146" s="5">
        <v>2023</v>
      </c>
      <c r="F146" s="273">
        <v>29.533999999999999</v>
      </c>
    </row>
    <row r="147" spans="1:6">
      <c r="A147" s="271" t="s">
        <v>542</v>
      </c>
      <c r="B147" s="5" t="s">
        <v>543</v>
      </c>
      <c r="C147" s="5">
        <v>2023</v>
      </c>
      <c r="D147" s="269">
        <v>67.384799999999998</v>
      </c>
      <c r="E147" s="5">
        <v>2023</v>
      </c>
      <c r="F147" s="273">
        <v>20.957000000000001</v>
      </c>
    </row>
    <row r="148" spans="1:6">
      <c r="A148" s="271" t="e">
        <v>#N/A</v>
      </c>
      <c r="B148" s="5" t="s">
        <v>765</v>
      </c>
      <c r="C148" s="5">
        <v>2023</v>
      </c>
      <c r="D148" s="269">
        <v>62.109400000000001</v>
      </c>
      <c r="E148" s="5">
        <v>2023</v>
      </c>
      <c r="F148" s="273">
        <v>20.434000000000001</v>
      </c>
    </row>
    <row r="149" spans="1:6">
      <c r="A149" s="271" t="s">
        <v>544</v>
      </c>
      <c r="B149" s="5" t="s">
        <v>545</v>
      </c>
      <c r="C149" s="5">
        <v>2023</v>
      </c>
      <c r="D149" s="269">
        <v>70.353700000000003</v>
      </c>
      <c r="E149" s="5">
        <v>2023</v>
      </c>
      <c r="F149" s="273">
        <v>24.678999999999998</v>
      </c>
    </row>
    <row r="150" spans="1:6">
      <c r="A150" s="271" t="s">
        <v>546</v>
      </c>
      <c r="B150" s="5" t="s">
        <v>547</v>
      </c>
      <c r="C150" s="5">
        <v>2023</v>
      </c>
      <c r="D150" s="269">
        <v>82.157600000000002</v>
      </c>
      <c r="E150" s="5">
        <v>2023</v>
      </c>
      <c r="F150" s="273">
        <v>41.396000000000001</v>
      </c>
    </row>
    <row r="151" spans="1:6">
      <c r="A151" s="271" t="s">
        <v>708</v>
      </c>
      <c r="B151" s="5" t="s">
        <v>709</v>
      </c>
      <c r="C151" s="5">
        <v>2023</v>
      </c>
      <c r="D151" s="269">
        <v>78.765799999999999</v>
      </c>
      <c r="E151" s="5">
        <v>2023</v>
      </c>
      <c r="F151" s="273">
        <v>33.890999999999998</v>
      </c>
    </row>
    <row r="152" spans="1:6">
      <c r="A152" s="271" t="s">
        <v>548</v>
      </c>
      <c r="B152" s="5" t="s">
        <v>549</v>
      </c>
      <c r="C152" s="5">
        <v>2023</v>
      </c>
      <c r="D152" s="269">
        <v>82.087999999999994</v>
      </c>
      <c r="E152" s="5">
        <v>2023</v>
      </c>
      <c r="F152" s="273">
        <v>37.28</v>
      </c>
    </row>
    <row r="153" spans="1:6">
      <c r="A153" s="271" t="s">
        <v>550</v>
      </c>
      <c r="B153" s="5" t="s">
        <v>551</v>
      </c>
      <c r="C153" s="5">
        <v>2023</v>
      </c>
      <c r="D153" s="269">
        <v>74.946799999999996</v>
      </c>
      <c r="E153" s="5">
        <v>2023</v>
      </c>
      <c r="F153" s="273">
        <v>25.266999999999999</v>
      </c>
    </row>
    <row r="154" spans="1:6">
      <c r="A154" s="271" t="s">
        <v>552</v>
      </c>
      <c r="B154" s="5" t="s">
        <v>553</v>
      </c>
      <c r="C154" s="5">
        <v>2023</v>
      </c>
      <c r="D154" s="269">
        <v>61.183300000000003</v>
      </c>
      <c r="E154" s="5">
        <v>2023</v>
      </c>
      <c r="F154" s="273">
        <v>15.25</v>
      </c>
    </row>
    <row r="155" spans="1:6">
      <c r="A155" s="271" t="s">
        <v>554</v>
      </c>
      <c r="B155" s="5" t="s">
        <v>555</v>
      </c>
      <c r="C155" s="5">
        <v>2023</v>
      </c>
      <c r="D155" s="269">
        <v>54.462299999999999</v>
      </c>
      <c r="E155" s="5">
        <v>2023</v>
      </c>
      <c r="F155" s="273">
        <v>17.754000000000001</v>
      </c>
    </row>
    <row r="156" spans="1:6">
      <c r="A156" s="271" t="e">
        <v>#N/A</v>
      </c>
      <c r="B156" s="5" t="s">
        <v>2062</v>
      </c>
      <c r="C156" s="5">
        <v>2023</v>
      </c>
      <c r="D156" s="269">
        <v>69.977800000000002</v>
      </c>
      <c r="E156" s="5">
        <v>2023</v>
      </c>
      <c r="F156" s="273">
        <v>36.555</v>
      </c>
    </row>
    <row r="157" spans="1:6">
      <c r="A157" s="271" t="s">
        <v>712</v>
      </c>
      <c r="B157" s="5" t="s">
        <v>713</v>
      </c>
      <c r="C157" s="5">
        <v>2023</v>
      </c>
      <c r="D157" s="269">
        <v>73.641800000000003</v>
      </c>
      <c r="E157" s="5">
        <v>2023</v>
      </c>
      <c r="F157" s="273">
        <v>36.048000000000002</v>
      </c>
    </row>
    <row r="158" spans="1:6">
      <c r="A158" s="271" t="s">
        <v>508</v>
      </c>
      <c r="B158" s="5" t="s">
        <v>509</v>
      </c>
      <c r="C158" s="5">
        <v>2023</v>
      </c>
      <c r="D158" s="269">
        <v>77.3947</v>
      </c>
      <c r="E158" s="5">
        <v>2023</v>
      </c>
      <c r="F158" s="273">
        <v>40.26</v>
      </c>
    </row>
    <row r="159" spans="1:6">
      <c r="A159" s="271" t="e">
        <v>#N/A</v>
      </c>
      <c r="B159" s="5" t="s">
        <v>762</v>
      </c>
      <c r="C159" s="5">
        <v>2023</v>
      </c>
      <c r="D159" s="269">
        <v>78.807500000000005</v>
      </c>
      <c r="E159" s="5">
        <v>2023</v>
      </c>
      <c r="F159" s="273">
        <v>36.136000000000003</v>
      </c>
    </row>
    <row r="160" spans="1:6">
      <c r="A160" s="271" t="s">
        <v>556</v>
      </c>
      <c r="B160" s="5" t="s">
        <v>557</v>
      </c>
      <c r="C160" s="5">
        <v>2023</v>
      </c>
      <c r="D160" s="269">
        <v>83.3078</v>
      </c>
      <c r="E160" s="5">
        <v>2023</v>
      </c>
      <c r="F160" s="273">
        <v>39.54</v>
      </c>
    </row>
    <row r="161" spans="1:6">
      <c r="A161" s="271" t="s">
        <v>710</v>
      </c>
      <c r="B161" s="5" t="s">
        <v>711</v>
      </c>
      <c r="C161" s="5">
        <v>2023</v>
      </c>
      <c r="D161" s="269">
        <v>80.030500000000004</v>
      </c>
      <c r="E161" s="5">
        <v>2023</v>
      </c>
      <c r="F161" s="273">
        <v>29.268000000000001</v>
      </c>
    </row>
    <row r="162" spans="1:6">
      <c r="A162" s="271" t="s">
        <v>558</v>
      </c>
      <c r="B162" s="5" t="s">
        <v>559</v>
      </c>
      <c r="C162" s="5">
        <v>2023</v>
      </c>
      <c r="D162" s="269">
        <v>67.649000000000001</v>
      </c>
      <c r="E162" s="5">
        <v>2023</v>
      </c>
      <c r="F162" s="273">
        <v>20.286999999999999</v>
      </c>
    </row>
    <row r="163" spans="1:6">
      <c r="A163" s="271" t="s">
        <v>560</v>
      </c>
      <c r="B163" s="5" t="s">
        <v>561</v>
      </c>
      <c r="C163" s="5">
        <v>2023</v>
      </c>
      <c r="D163" s="269">
        <v>69.269000000000005</v>
      </c>
      <c r="E163" s="5">
        <v>2023</v>
      </c>
      <c r="F163" s="273">
        <v>37.843000000000004</v>
      </c>
    </row>
    <row r="164" spans="1:6">
      <c r="A164" s="271" t="s">
        <v>676</v>
      </c>
      <c r="B164" s="5" t="s">
        <v>677</v>
      </c>
      <c r="C164" s="5">
        <v>2023</v>
      </c>
      <c r="D164" s="269">
        <v>65.170299999999997</v>
      </c>
      <c r="E164" s="5">
        <v>2023</v>
      </c>
      <c r="F164" s="273">
        <v>19.763000000000002</v>
      </c>
    </row>
    <row r="165" spans="1:6">
      <c r="A165" s="271" t="s">
        <v>562</v>
      </c>
      <c r="B165" s="5" t="s">
        <v>563</v>
      </c>
      <c r="C165" s="5">
        <v>2023</v>
      </c>
      <c r="D165" s="269">
        <v>79.593699999999998</v>
      </c>
      <c r="E165" s="5">
        <v>2023</v>
      </c>
      <c r="F165" s="273">
        <v>29.603000000000002</v>
      </c>
    </row>
    <row r="166" spans="1:6">
      <c r="A166" s="271" t="s">
        <v>564</v>
      </c>
      <c r="B166" s="5" t="s">
        <v>565</v>
      </c>
      <c r="C166" s="5">
        <v>2023</v>
      </c>
      <c r="D166" s="269">
        <v>66.134</v>
      </c>
      <c r="E166" s="5">
        <v>2023</v>
      </c>
      <c r="F166" s="273">
        <v>22.344000000000001</v>
      </c>
    </row>
    <row r="167" spans="1:6">
      <c r="A167" s="271" t="s">
        <v>566</v>
      </c>
      <c r="B167" s="5" t="s">
        <v>567</v>
      </c>
      <c r="C167" s="5">
        <v>2023</v>
      </c>
      <c r="D167" s="269">
        <v>73.844300000000004</v>
      </c>
      <c r="E167" s="5">
        <v>2023</v>
      </c>
      <c r="F167" s="273">
        <v>26.341000000000001</v>
      </c>
    </row>
    <row r="168" spans="1:6">
      <c r="A168" s="271" t="s">
        <v>568</v>
      </c>
      <c r="B168" s="5" t="s">
        <v>569</v>
      </c>
      <c r="C168" s="5">
        <v>2023</v>
      </c>
      <c r="D168" s="269">
        <v>77.740099999999998</v>
      </c>
      <c r="E168" s="5">
        <v>2023</v>
      </c>
      <c r="F168" s="273">
        <v>29.451000000000001</v>
      </c>
    </row>
    <row r="169" spans="1:6">
      <c r="A169" s="271" t="s">
        <v>570</v>
      </c>
      <c r="B169" s="5" t="s">
        <v>571</v>
      </c>
      <c r="C169" s="5">
        <v>2023</v>
      </c>
      <c r="D169" s="269">
        <v>69.832700000000003</v>
      </c>
      <c r="E169" s="5">
        <v>2023</v>
      </c>
      <c r="F169" s="273">
        <v>25.286999999999999</v>
      </c>
    </row>
    <row r="170" spans="1:6">
      <c r="A170" s="271" t="s">
        <v>572</v>
      </c>
      <c r="B170" s="5" t="s">
        <v>573</v>
      </c>
      <c r="C170" s="5">
        <v>2023</v>
      </c>
      <c r="D170" s="269">
        <v>78.632900000000006</v>
      </c>
      <c r="E170" s="5">
        <v>2023</v>
      </c>
      <c r="F170" s="273">
        <v>41.31</v>
      </c>
    </row>
    <row r="171" spans="1:6">
      <c r="A171" s="271" t="s">
        <v>574</v>
      </c>
      <c r="B171" s="5" t="s">
        <v>575</v>
      </c>
      <c r="C171" s="5">
        <v>2023</v>
      </c>
      <c r="D171" s="269">
        <v>82.359899999999996</v>
      </c>
      <c r="E171" s="5">
        <v>2023</v>
      </c>
      <c r="F171" s="273">
        <v>46.2</v>
      </c>
    </row>
    <row r="172" spans="1:6">
      <c r="A172" s="271" t="s">
        <v>576</v>
      </c>
      <c r="B172" s="5" t="s">
        <v>577</v>
      </c>
      <c r="C172" s="5">
        <v>2023</v>
      </c>
      <c r="D172" s="269">
        <v>81.690200000000004</v>
      </c>
      <c r="E172" s="5">
        <v>2023</v>
      </c>
      <c r="F172" s="273">
        <v>45.305999999999997</v>
      </c>
    </row>
    <row r="173" spans="1:6">
      <c r="A173" s="271" t="s">
        <v>578</v>
      </c>
      <c r="B173" s="5" t="s">
        <v>579</v>
      </c>
      <c r="C173" s="5">
        <v>2023</v>
      </c>
      <c r="D173" s="269">
        <v>82.367999999999995</v>
      </c>
      <c r="E173" s="5">
        <v>2023</v>
      </c>
      <c r="F173" s="273">
        <v>33.189</v>
      </c>
    </row>
    <row r="174" spans="1:6">
      <c r="A174" s="271" t="e">
        <v>#N/A</v>
      </c>
      <c r="B174" s="5" t="s">
        <v>2063</v>
      </c>
      <c r="C174" s="5">
        <v>2023</v>
      </c>
      <c r="D174" s="269">
        <v>83.547200000000004</v>
      </c>
      <c r="E174" s="5">
        <v>2023</v>
      </c>
      <c r="F174" s="273">
        <v>37.43</v>
      </c>
    </row>
    <row r="175" spans="1:6">
      <c r="A175" s="271" t="s">
        <v>580</v>
      </c>
      <c r="B175" s="5" t="s">
        <v>581</v>
      </c>
      <c r="C175" s="5">
        <v>2023</v>
      </c>
      <c r="D175" s="269">
        <v>75.938100000000006</v>
      </c>
      <c r="E175" s="5">
        <v>2023</v>
      </c>
      <c r="F175" s="273">
        <v>42.621000000000002</v>
      </c>
    </row>
    <row r="176" spans="1:6">
      <c r="A176" s="271" t="s">
        <v>582</v>
      </c>
      <c r="B176" s="5" t="s">
        <v>583</v>
      </c>
      <c r="C176" s="5">
        <v>2023</v>
      </c>
      <c r="D176" s="269">
        <v>73.1541</v>
      </c>
      <c r="E176" s="5">
        <v>2023</v>
      </c>
      <c r="F176" s="273">
        <v>39.454000000000001</v>
      </c>
    </row>
    <row r="177" spans="1:6">
      <c r="A177" s="271" t="s">
        <v>584</v>
      </c>
      <c r="B177" s="5" t="s">
        <v>585</v>
      </c>
      <c r="C177" s="5">
        <v>2023</v>
      </c>
      <c r="D177" s="269">
        <v>67.785200000000003</v>
      </c>
      <c r="E177" s="5">
        <v>2023</v>
      </c>
      <c r="F177" s="273">
        <v>19.440000000000001</v>
      </c>
    </row>
    <row r="178" spans="1:6">
      <c r="A178" s="271" t="e">
        <v>#N/A</v>
      </c>
      <c r="B178" s="5" t="s">
        <v>2064</v>
      </c>
      <c r="C178" s="5">
        <v>2023</v>
      </c>
      <c r="D178" s="269">
        <v>84.290099999999995</v>
      </c>
      <c r="E178" s="5">
        <v>2023</v>
      </c>
      <c r="F178" s="273">
        <v>38.81</v>
      </c>
    </row>
    <row r="179" spans="1:6">
      <c r="A179" s="271" t="e">
        <v>#N/A</v>
      </c>
      <c r="B179" s="5" t="s">
        <v>2065</v>
      </c>
      <c r="C179" s="5">
        <v>2023</v>
      </c>
      <c r="D179" s="269">
        <v>76.786900000000003</v>
      </c>
      <c r="E179" s="5">
        <v>2023</v>
      </c>
      <c r="F179" s="273">
        <v>50.45</v>
      </c>
    </row>
    <row r="180" spans="1:6">
      <c r="A180" s="271" t="s">
        <v>616</v>
      </c>
      <c r="B180" s="5" t="s">
        <v>617</v>
      </c>
      <c r="C180" s="5">
        <v>2023</v>
      </c>
      <c r="D180" s="269">
        <v>72.1447</v>
      </c>
      <c r="E180" s="5">
        <v>2023</v>
      </c>
      <c r="F180" s="273">
        <v>35.348999999999997</v>
      </c>
    </row>
    <row r="181" spans="1:6">
      <c r="A181" s="271" t="s">
        <v>618</v>
      </c>
      <c r="B181" s="5" t="s">
        <v>619</v>
      </c>
      <c r="C181" s="5">
        <v>2023</v>
      </c>
      <c r="D181" s="269">
        <v>72.696799999999996</v>
      </c>
      <c r="E181" s="5">
        <v>2023</v>
      </c>
      <c r="F181" s="273">
        <v>33.744999999999997</v>
      </c>
    </row>
    <row r="182" spans="1:6">
      <c r="A182" s="271" t="e">
        <v>#N/A</v>
      </c>
      <c r="B182" s="5" t="s">
        <v>757</v>
      </c>
      <c r="C182" s="5">
        <v>2023</v>
      </c>
      <c r="D182" s="269">
        <v>80.223799999999997</v>
      </c>
      <c r="E182" s="5">
        <v>2023</v>
      </c>
      <c r="F182" s="273">
        <v>39.363</v>
      </c>
    </row>
    <row r="183" spans="1:6">
      <c r="A183" s="271" t="e">
        <v>#N/A</v>
      </c>
      <c r="B183" s="5" t="s">
        <v>2066</v>
      </c>
      <c r="C183" s="5">
        <v>2023</v>
      </c>
      <c r="D183" s="269">
        <v>76.757800000000003</v>
      </c>
      <c r="E183" s="5">
        <v>2023</v>
      </c>
      <c r="F183" s="273">
        <v>46.402999999999999</v>
      </c>
    </row>
    <row r="184" spans="1:6">
      <c r="A184" s="271" t="s">
        <v>620</v>
      </c>
      <c r="B184" s="5" t="s">
        <v>621</v>
      </c>
      <c r="C184" s="5">
        <v>2023</v>
      </c>
      <c r="D184" s="269">
        <v>71.230099999999993</v>
      </c>
      <c r="E184" s="5">
        <v>2023</v>
      </c>
      <c r="F184" s="273">
        <v>33.896999999999998</v>
      </c>
    </row>
    <row r="185" spans="1:6">
      <c r="A185" s="271" t="s">
        <v>586</v>
      </c>
      <c r="B185" s="5" t="s">
        <v>587</v>
      </c>
      <c r="C185" s="5">
        <v>2023</v>
      </c>
      <c r="D185" s="269">
        <v>71.6982</v>
      </c>
      <c r="E185" s="5">
        <v>2023</v>
      </c>
      <c r="F185" s="273">
        <v>19.904</v>
      </c>
    </row>
    <row r="186" spans="1:6">
      <c r="A186" s="271" t="s">
        <v>718</v>
      </c>
      <c r="B186" s="5" t="s">
        <v>719</v>
      </c>
      <c r="C186" s="5">
        <v>2023</v>
      </c>
      <c r="D186" s="269">
        <v>85.706199999999995</v>
      </c>
      <c r="E186" s="5">
        <v>2023</v>
      </c>
      <c r="F186" s="273">
        <v>47.393000000000001</v>
      </c>
    </row>
    <row r="187" spans="1:6">
      <c r="A187" s="271" t="s">
        <v>588</v>
      </c>
      <c r="B187" s="5" t="s">
        <v>589</v>
      </c>
      <c r="C187" s="5">
        <v>2023</v>
      </c>
      <c r="D187" s="269">
        <v>69.718199999999996</v>
      </c>
      <c r="E187" s="5">
        <v>2023</v>
      </c>
      <c r="F187" s="273">
        <v>19.052</v>
      </c>
    </row>
    <row r="188" spans="1:6">
      <c r="A188" s="271" t="s">
        <v>590</v>
      </c>
      <c r="B188" s="5" t="s">
        <v>591</v>
      </c>
      <c r="C188" s="5">
        <v>2023</v>
      </c>
      <c r="D188" s="269">
        <v>78.732100000000003</v>
      </c>
      <c r="E188" s="5">
        <v>2023</v>
      </c>
      <c r="F188" s="273">
        <v>29.247</v>
      </c>
    </row>
    <row r="189" spans="1:6">
      <c r="A189" s="271" t="s">
        <v>592</v>
      </c>
      <c r="B189" s="5" t="s">
        <v>593</v>
      </c>
      <c r="C189" s="5">
        <v>2023</v>
      </c>
      <c r="D189" s="269">
        <v>68.682900000000004</v>
      </c>
      <c r="E189" s="5">
        <v>2023</v>
      </c>
      <c r="F189" s="273">
        <v>19.129000000000001</v>
      </c>
    </row>
    <row r="190" spans="1:6">
      <c r="A190" s="271" t="s">
        <v>594</v>
      </c>
      <c r="B190" s="5" t="s">
        <v>595</v>
      </c>
      <c r="C190" s="5">
        <v>2023</v>
      </c>
      <c r="D190" s="269">
        <v>76.769300000000001</v>
      </c>
      <c r="E190" s="5">
        <v>2023</v>
      </c>
      <c r="F190" s="273">
        <v>43.872</v>
      </c>
    </row>
    <row r="191" spans="1:6">
      <c r="A191" s="271" t="s">
        <v>596</v>
      </c>
      <c r="B191" s="5" t="s">
        <v>597</v>
      </c>
      <c r="C191" s="5">
        <v>2023</v>
      </c>
      <c r="D191" s="269">
        <v>72.861999999999995</v>
      </c>
      <c r="E191" s="5">
        <v>2023</v>
      </c>
      <c r="F191" s="273">
        <v>33.652999999999999</v>
      </c>
    </row>
    <row r="192" spans="1:6">
      <c r="A192" s="271" t="s">
        <v>598</v>
      </c>
      <c r="B192" s="5" t="s">
        <v>599</v>
      </c>
      <c r="C192" s="5">
        <v>2023</v>
      </c>
      <c r="D192" s="269">
        <v>61.785800000000002</v>
      </c>
      <c r="E192" s="5">
        <v>2023</v>
      </c>
      <c r="F192" s="273">
        <v>19.27</v>
      </c>
    </row>
    <row r="193" spans="1:6">
      <c r="A193" s="271" t="s">
        <v>600</v>
      </c>
      <c r="B193" s="5" t="s">
        <v>601</v>
      </c>
      <c r="C193" s="5">
        <v>2023</v>
      </c>
      <c r="D193" s="269">
        <v>83.736199999999997</v>
      </c>
      <c r="E193" s="5">
        <v>2023</v>
      </c>
      <c r="F193" s="273">
        <v>35.101999999999997</v>
      </c>
    </row>
    <row r="194" spans="1:6">
      <c r="A194" s="271" t="e">
        <v>#N/A</v>
      </c>
      <c r="B194" s="5" t="s">
        <v>770</v>
      </c>
      <c r="C194" s="5">
        <v>2023</v>
      </c>
      <c r="D194" s="269">
        <v>76.370999999999995</v>
      </c>
      <c r="E194" s="5">
        <v>2023</v>
      </c>
      <c r="F194" s="273">
        <v>41.587000000000003</v>
      </c>
    </row>
    <row r="195" spans="1:6">
      <c r="A195" s="271" t="s">
        <v>602</v>
      </c>
      <c r="B195" s="5" t="s">
        <v>603</v>
      </c>
      <c r="C195" s="5">
        <v>2023</v>
      </c>
      <c r="D195" s="269">
        <v>78.341399999999993</v>
      </c>
      <c r="E195" s="5">
        <v>2023</v>
      </c>
      <c r="F195" s="273">
        <v>41.302</v>
      </c>
    </row>
    <row r="196" spans="1:6">
      <c r="A196" s="271" t="s">
        <v>604</v>
      </c>
      <c r="B196" s="5" t="s">
        <v>605</v>
      </c>
      <c r="C196" s="5">
        <v>2023</v>
      </c>
      <c r="D196" s="269">
        <v>81.603399999999993</v>
      </c>
      <c r="E196" s="5">
        <v>2023</v>
      </c>
      <c r="F196" s="273">
        <v>43.893999999999998</v>
      </c>
    </row>
    <row r="197" spans="1:6">
      <c r="A197" s="271" t="s">
        <v>606</v>
      </c>
      <c r="B197" s="5" t="s">
        <v>607</v>
      </c>
      <c r="C197" s="5">
        <v>2023</v>
      </c>
      <c r="D197" s="269">
        <v>70.527699999999996</v>
      </c>
      <c r="E197" s="5">
        <v>2023</v>
      </c>
      <c r="F197" s="273">
        <v>20.251000000000001</v>
      </c>
    </row>
    <row r="198" spans="1:6">
      <c r="A198" s="271" t="s">
        <v>608</v>
      </c>
      <c r="B198" s="5" t="s">
        <v>609</v>
      </c>
      <c r="C198" s="5">
        <v>2023</v>
      </c>
      <c r="D198" s="269">
        <v>58.815800000000003</v>
      </c>
      <c r="E198" s="5">
        <v>2023</v>
      </c>
      <c r="F198" s="273">
        <v>15.446999999999999</v>
      </c>
    </row>
    <row r="199" spans="1:6">
      <c r="A199" s="271" t="s">
        <v>610</v>
      </c>
      <c r="B199" s="5" t="s">
        <v>611</v>
      </c>
      <c r="C199" s="5">
        <v>2023</v>
      </c>
      <c r="D199" s="269">
        <v>66.1387</v>
      </c>
      <c r="E199" s="5">
        <v>2023</v>
      </c>
      <c r="F199" s="273">
        <v>28.213000000000001</v>
      </c>
    </row>
    <row r="200" spans="1:6">
      <c r="A200" s="271" t="s">
        <v>488</v>
      </c>
      <c r="B200" s="5" t="s">
        <v>489</v>
      </c>
      <c r="C200" s="5">
        <v>2023</v>
      </c>
      <c r="D200" s="269">
        <v>84.328800000000001</v>
      </c>
      <c r="E200" s="5">
        <v>2023</v>
      </c>
      <c r="F200" s="273">
        <v>44.485999999999997</v>
      </c>
    </row>
    <row r="201" spans="1:6">
      <c r="A201" s="271" t="s">
        <v>716</v>
      </c>
      <c r="B201" s="5" t="s">
        <v>717</v>
      </c>
      <c r="C201" s="5">
        <v>2023</v>
      </c>
      <c r="D201" s="269">
        <v>57.617400000000004</v>
      </c>
      <c r="E201" s="5">
        <v>2023</v>
      </c>
      <c r="F201" s="273">
        <v>17.97</v>
      </c>
    </row>
    <row r="202" spans="1:6">
      <c r="A202" s="271" t="s">
        <v>612</v>
      </c>
      <c r="B202" s="5" t="s">
        <v>613</v>
      </c>
      <c r="C202" s="5">
        <v>2023</v>
      </c>
      <c r="D202" s="269">
        <v>83.670299999999997</v>
      </c>
      <c r="E202" s="5">
        <v>2023</v>
      </c>
      <c r="F202" s="273">
        <v>44.902999999999999</v>
      </c>
    </row>
    <row r="203" spans="1:6">
      <c r="A203" s="271" t="s">
        <v>614</v>
      </c>
      <c r="B203" s="5" t="s">
        <v>615</v>
      </c>
      <c r="C203" s="5">
        <v>2023</v>
      </c>
      <c r="D203" s="269">
        <v>77.482799999999997</v>
      </c>
      <c r="E203" s="5">
        <v>2023</v>
      </c>
      <c r="F203" s="273">
        <v>32.811999999999998</v>
      </c>
    </row>
    <row r="204" spans="1:6">
      <c r="A204" s="271" t="s">
        <v>622</v>
      </c>
      <c r="B204" s="5" t="s">
        <v>623</v>
      </c>
      <c r="C204" s="5">
        <v>2023</v>
      </c>
      <c r="D204" s="269">
        <v>66.331000000000003</v>
      </c>
      <c r="E204" s="5">
        <v>2023</v>
      </c>
      <c r="F204" s="273">
        <v>18.276</v>
      </c>
    </row>
    <row r="205" spans="1:6">
      <c r="A205" s="271" t="s">
        <v>624</v>
      </c>
      <c r="B205" s="5" t="s">
        <v>625</v>
      </c>
      <c r="C205" s="5">
        <v>2023</v>
      </c>
      <c r="D205" s="269">
        <v>73.631</v>
      </c>
      <c r="E205" s="5">
        <v>2023</v>
      </c>
      <c r="F205" s="273">
        <v>28.1</v>
      </c>
    </row>
    <row r="206" spans="1:6">
      <c r="A206" s="271" t="s">
        <v>628</v>
      </c>
      <c r="B206" s="5" t="s">
        <v>629</v>
      </c>
      <c r="C206" s="5">
        <v>2023</v>
      </c>
      <c r="D206" s="269">
        <v>83.2624</v>
      </c>
      <c r="E206" s="5">
        <v>2023</v>
      </c>
      <c r="F206" s="273">
        <v>39.912999999999997</v>
      </c>
    </row>
    <row r="207" spans="1:6">
      <c r="A207" s="271" t="s">
        <v>630</v>
      </c>
      <c r="B207" s="5" t="s">
        <v>631</v>
      </c>
      <c r="C207" s="5">
        <v>2023</v>
      </c>
      <c r="D207" s="269">
        <v>83.953599999999994</v>
      </c>
      <c r="E207" s="5">
        <v>2023</v>
      </c>
      <c r="F207" s="273">
        <v>42.331000000000003</v>
      </c>
    </row>
    <row r="208" spans="1:6">
      <c r="A208" s="271" t="s">
        <v>632</v>
      </c>
      <c r="B208" s="5" t="s">
        <v>633</v>
      </c>
      <c r="C208" s="5">
        <v>2023</v>
      </c>
      <c r="D208" s="269">
        <v>72.120099999999994</v>
      </c>
      <c r="E208" s="5">
        <v>2023</v>
      </c>
      <c r="F208" s="273">
        <v>22.248999999999999</v>
      </c>
    </row>
    <row r="209" spans="1:6">
      <c r="A209" s="271" t="s">
        <v>634</v>
      </c>
      <c r="B209" s="5" t="s">
        <v>635</v>
      </c>
      <c r="C209" s="5">
        <v>2023</v>
      </c>
      <c r="D209" s="269">
        <v>80.558800000000005</v>
      </c>
      <c r="E209" s="5">
        <v>2023</v>
      </c>
      <c r="F209" s="273">
        <v>43.537999999999997</v>
      </c>
    </row>
    <row r="210" spans="1:6">
      <c r="A210" s="271" t="s">
        <v>636</v>
      </c>
      <c r="B210" s="5" t="s">
        <v>637</v>
      </c>
      <c r="C210" s="5">
        <v>2023</v>
      </c>
      <c r="D210" s="269">
        <v>71.790099999999995</v>
      </c>
      <c r="E210" s="5">
        <v>2023</v>
      </c>
      <c r="F210" s="273">
        <v>21.925000000000001</v>
      </c>
    </row>
    <row r="211" spans="1:6">
      <c r="A211" s="271" t="s">
        <v>638</v>
      </c>
      <c r="B211" s="5" t="s">
        <v>639</v>
      </c>
      <c r="C211" s="5">
        <v>2023</v>
      </c>
      <c r="D211" s="269">
        <v>66.9953</v>
      </c>
      <c r="E211" s="5">
        <v>2023</v>
      </c>
      <c r="F211" s="273">
        <v>17.239999999999998</v>
      </c>
    </row>
    <row r="212" spans="1:6">
      <c r="A212" s="271" t="s">
        <v>640</v>
      </c>
      <c r="B212" s="5" t="s">
        <v>641</v>
      </c>
      <c r="C212" s="5">
        <v>2023</v>
      </c>
      <c r="D212" s="269">
        <v>76.411500000000004</v>
      </c>
      <c r="E212" s="5">
        <v>2023</v>
      </c>
      <c r="F212" s="273">
        <v>39.658000000000001</v>
      </c>
    </row>
    <row r="213" spans="1:6">
      <c r="A213" s="271" t="s">
        <v>644</v>
      </c>
      <c r="B213" s="5" t="s">
        <v>645</v>
      </c>
      <c r="C213" s="5">
        <v>2023</v>
      </c>
      <c r="D213" s="269">
        <v>62.738700000000001</v>
      </c>
      <c r="E213" s="5">
        <v>2023</v>
      </c>
      <c r="F213" s="273">
        <v>18.818000000000001</v>
      </c>
    </row>
    <row r="214" spans="1:6">
      <c r="A214" s="271" t="e">
        <v>#N/A</v>
      </c>
      <c r="B214" s="5" t="s">
        <v>2067</v>
      </c>
      <c r="C214" s="5">
        <v>2023</v>
      </c>
      <c r="D214" s="269">
        <v>77.051199999999994</v>
      </c>
      <c r="E214" s="5">
        <v>2023</v>
      </c>
      <c r="F214" s="273">
        <v>26.65</v>
      </c>
    </row>
    <row r="215" spans="1:6">
      <c r="A215" s="271" t="s">
        <v>646</v>
      </c>
      <c r="B215" s="5" t="s">
        <v>647</v>
      </c>
      <c r="C215" s="5">
        <v>2023</v>
      </c>
      <c r="D215" s="269">
        <v>72.8947</v>
      </c>
      <c r="E215" s="5">
        <v>2023</v>
      </c>
      <c r="F215" s="273">
        <v>20.695</v>
      </c>
    </row>
    <row r="216" spans="1:6">
      <c r="A216" s="271" t="s">
        <v>648</v>
      </c>
      <c r="B216" s="5" t="s">
        <v>649</v>
      </c>
      <c r="C216" s="5">
        <v>2023</v>
      </c>
      <c r="D216" s="269">
        <v>73.489599999999996</v>
      </c>
      <c r="E216" s="5">
        <v>2023</v>
      </c>
      <c r="F216" s="273">
        <v>36.718000000000004</v>
      </c>
    </row>
    <row r="217" spans="1:6">
      <c r="A217" s="271" t="s">
        <v>650</v>
      </c>
      <c r="B217" s="5" t="s">
        <v>651</v>
      </c>
      <c r="C217" s="5">
        <v>2023</v>
      </c>
      <c r="D217" s="269">
        <v>76.5077</v>
      </c>
      <c r="E217" s="5">
        <v>2023</v>
      </c>
      <c r="F217" s="273">
        <v>32.127000000000002</v>
      </c>
    </row>
    <row r="218" spans="1:6">
      <c r="A218" s="271" t="s">
        <v>652</v>
      </c>
      <c r="B218" s="5" t="s">
        <v>653</v>
      </c>
      <c r="C218" s="5">
        <v>2023</v>
      </c>
      <c r="D218" s="269">
        <v>77.155699999999996</v>
      </c>
      <c r="E218" s="5">
        <v>2023</v>
      </c>
      <c r="F218" s="273">
        <v>32.520000000000003</v>
      </c>
    </row>
    <row r="219" spans="1:6">
      <c r="A219" s="271" t="s">
        <v>654</v>
      </c>
      <c r="B219" s="5" t="s">
        <v>655</v>
      </c>
      <c r="C219" s="5">
        <v>2023</v>
      </c>
      <c r="D219" s="269">
        <v>70.072699999999998</v>
      </c>
      <c r="E219" s="5">
        <v>2023</v>
      </c>
      <c r="F219" s="273">
        <v>26.231999999999999</v>
      </c>
    </row>
    <row r="220" spans="1:6">
      <c r="A220" s="271" t="e">
        <v>#N/A</v>
      </c>
      <c r="B220" s="5" t="s">
        <v>772</v>
      </c>
      <c r="C220" s="5">
        <v>2023</v>
      </c>
      <c r="D220" s="269">
        <v>78.0077</v>
      </c>
      <c r="E220" s="5">
        <v>2023</v>
      </c>
      <c r="F220" s="273">
        <v>38.298000000000002</v>
      </c>
    </row>
    <row r="221" spans="1:6">
      <c r="A221" s="271" t="e">
        <v>#N/A</v>
      </c>
      <c r="B221" s="5" t="s">
        <v>776</v>
      </c>
      <c r="C221" s="5">
        <v>2023</v>
      </c>
      <c r="D221" s="269">
        <v>67.104900000000001</v>
      </c>
      <c r="E221" s="5">
        <v>2023</v>
      </c>
      <c r="F221" s="273">
        <v>24.286000000000001</v>
      </c>
    </row>
    <row r="222" spans="1:6">
      <c r="A222" s="271" t="s">
        <v>656</v>
      </c>
      <c r="B222" s="5" t="s">
        <v>657</v>
      </c>
      <c r="C222" s="5">
        <v>2023</v>
      </c>
      <c r="D222" s="269">
        <v>68.252300000000005</v>
      </c>
      <c r="E222" s="5">
        <v>2023</v>
      </c>
      <c r="F222" s="273">
        <v>16.513999999999999</v>
      </c>
    </row>
    <row r="223" spans="1:6">
      <c r="A223" s="271" t="s">
        <v>658</v>
      </c>
      <c r="B223" s="5" t="s">
        <v>659</v>
      </c>
      <c r="C223" s="5">
        <v>2023</v>
      </c>
      <c r="D223" s="269">
        <v>73.422499999999999</v>
      </c>
      <c r="E223" s="5">
        <v>2023</v>
      </c>
      <c r="F223" s="273">
        <v>41.984000000000002</v>
      </c>
    </row>
    <row r="224" spans="1:6">
      <c r="A224" s="271" t="s">
        <v>660</v>
      </c>
      <c r="B224" s="5" t="s">
        <v>661</v>
      </c>
      <c r="C224" s="5">
        <v>2023</v>
      </c>
      <c r="D224" s="269">
        <v>82.909099999999995</v>
      </c>
      <c r="E224" s="5">
        <v>2023</v>
      </c>
      <c r="F224" s="273">
        <v>31.231999999999999</v>
      </c>
    </row>
    <row r="225" spans="1:6">
      <c r="A225" s="271" t="s">
        <v>662</v>
      </c>
      <c r="B225" s="5" t="s">
        <v>663</v>
      </c>
      <c r="C225" s="5">
        <v>2023</v>
      </c>
      <c r="D225" s="269">
        <v>81.301500000000004</v>
      </c>
      <c r="E225" s="5">
        <v>2023</v>
      </c>
      <c r="F225" s="273">
        <v>39.781999999999996</v>
      </c>
    </row>
    <row r="226" spans="1:6">
      <c r="A226" s="271" t="s">
        <v>664</v>
      </c>
      <c r="B226" s="5" t="s">
        <v>665</v>
      </c>
      <c r="C226" s="5">
        <v>2023</v>
      </c>
      <c r="D226" s="269">
        <v>79.304299999999998</v>
      </c>
      <c r="E226" s="5">
        <v>2023</v>
      </c>
      <c r="F226" s="273">
        <v>38.023000000000003</v>
      </c>
    </row>
    <row r="227" spans="1:6">
      <c r="A227" s="271" t="e">
        <v>#N/A</v>
      </c>
      <c r="B227" s="5" t="s">
        <v>779</v>
      </c>
      <c r="C227" s="5">
        <v>2023</v>
      </c>
      <c r="D227" s="269">
        <v>75.472399999999993</v>
      </c>
      <c r="E227" s="5">
        <v>2023</v>
      </c>
      <c r="F227" s="273">
        <v>44.667000000000002</v>
      </c>
    </row>
    <row r="228" spans="1:6">
      <c r="A228" s="271" t="s">
        <v>666</v>
      </c>
      <c r="B228" s="5" t="s">
        <v>667</v>
      </c>
      <c r="C228" s="5">
        <v>2023</v>
      </c>
      <c r="D228" s="269">
        <v>78.138499999999993</v>
      </c>
      <c r="E228" s="5">
        <v>2023</v>
      </c>
      <c r="F228" s="273">
        <v>35.779000000000003</v>
      </c>
    </row>
    <row r="229" spans="1:6">
      <c r="A229" s="271" t="s">
        <v>668</v>
      </c>
      <c r="B229" s="5" t="s">
        <v>669</v>
      </c>
      <c r="C229" s="5">
        <v>2023</v>
      </c>
      <c r="D229" s="269">
        <v>72.388400000000004</v>
      </c>
      <c r="E229" s="5">
        <v>2023</v>
      </c>
      <c r="F229" s="273">
        <v>26.914000000000001</v>
      </c>
    </row>
    <row r="230" spans="1:6">
      <c r="A230" s="271" t="s">
        <v>670</v>
      </c>
      <c r="B230" s="5" t="s">
        <v>671</v>
      </c>
      <c r="C230" s="5">
        <v>2023</v>
      </c>
      <c r="D230" s="269">
        <v>71.476900000000001</v>
      </c>
      <c r="E230" s="5">
        <v>2023</v>
      </c>
      <c r="F230" s="273">
        <v>20.143000000000001</v>
      </c>
    </row>
    <row r="231" spans="1:6">
      <c r="A231" s="271" t="e">
        <v>#N/A</v>
      </c>
      <c r="B231" s="5" t="s">
        <v>2068</v>
      </c>
      <c r="C231" s="5">
        <v>2023</v>
      </c>
      <c r="D231" s="269">
        <v>82.984800000000007</v>
      </c>
      <c r="E231" s="5">
        <v>2023</v>
      </c>
      <c r="F231" s="273">
        <v>59.625</v>
      </c>
    </row>
    <row r="232" spans="1:6">
      <c r="A232" s="271" t="s">
        <v>672</v>
      </c>
      <c r="B232" s="5" t="s">
        <v>673</v>
      </c>
      <c r="C232" s="5">
        <v>2023</v>
      </c>
      <c r="D232" s="269">
        <v>72.514200000000002</v>
      </c>
      <c r="E232" s="5">
        <v>2023</v>
      </c>
      <c r="F232" s="273">
        <v>29.024999999999999</v>
      </c>
    </row>
    <row r="233" spans="1:6">
      <c r="A233" s="271" t="s">
        <v>674</v>
      </c>
      <c r="B233" s="5" t="s">
        <v>675</v>
      </c>
      <c r="C233" s="5">
        <v>2023</v>
      </c>
      <c r="D233" s="269">
        <v>74.588300000000004</v>
      </c>
      <c r="E233" s="5">
        <v>2023</v>
      </c>
      <c r="F233" s="273">
        <v>32.429000000000002</v>
      </c>
    </row>
    <row r="234" spans="1:6">
      <c r="A234" s="271" t="e">
        <v>#N/A</v>
      </c>
      <c r="B234" s="5" t="s">
        <v>2069</v>
      </c>
      <c r="C234" s="5">
        <v>2023</v>
      </c>
      <c r="D234" s="269">
        <v>78.628600000000006</v>
      </c>
      <c r="E234" s="5">
        <v>2023</v>
      </c>
      <c r="F234" s="273">
        <v>37.165999999999997</v>
      </c>
    </row>
    <row r="235" spans="1:6">
      <c r="A235" s="271" t="e">
        <v>#N/A</v>
      </c>
      <c r="B235" s="5" t="s">
        <v>2070</v>
      </c>
      <c r="C235" s="5">
        <v>2023</v>
      </c>
      <c r="D235" s="269">
        <v>71.385000000000005</v>
      </c>
      <c r="E235" s="5">
        <v>2023</v>
      </c>
      <c r="F235" s="273">
        <v>32.036999999999999</v>
      </c>
    </row>
    <row r="236" spans="1:6">
      <c r="A236" s="271" t="e">
        <v>#N/A</v>
      </c>
      <c r="B236" s="5" t="s">
        <v>2071</v>
      </c>
      <c r="C236" s="5">
        <v>2023</v>
      </c>
      <c r="D236" s="269">
        <v>73.169399999999996</v>
      </c>
      <c r="E236" s="5">
        <v>2023</v>
      </c>
      <c r="F236" s="273">
        <v>30.364000000000001</v>
      </c>
    </row>
    <row r="237" spans="1:6">
      <c r="A237" s="271" t="s">
        <v>678</v>
      </c>
      <c r="B237" s="5" t="s">
        <v>679</v>
      </c>
      <c r="C237" s="5">
        <v>2023</v>
      </c>
      <c r="D237" s="269">
        <v>69.295199999999994</v>
      </c>
      <c r="E237" s="5">
        <v>2023</v>
      </c>
      <c r="F237" s="273">
        <v>18.184000000000001</v>
      </c>
    </row>
    <row r="238" spans="1:6">
      <c r="A238" s="271" t="s">
        <v>680</v>
      </c>
      <c r="B238" s="5" t="s">
        <v>681</v>
      </c>
      <c r="C238" s="5">
        <v>2023</v>
      </c>
      <c r="D238" s="269">
        <v>66.348699999999994</v>
      </c>
      <c r="E238" s="5">
        <v>2023</v>
      </c>
      <c r="F238" s="273">
        <v>17.489999999999998</v>
      </c>
    </row>
    <row r="239" spans="1:6">
      <c r="A239" s="266" t="s">
        <v>682</v>
      </c>
      <c r="B239" s="277" t="s">
        <v>683</v>
      </c>
      <c r="C239" s="277">
        <v>2023</v>
      </c>
      <c r="D239" s="278">
        <v>62.774799999999999</v>
      </c>
      <c r="E239" s="277">
        <v>2023</v>
      </c>
      <c r="F239" s="279">
        <v>17.808</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42ED6-9DB5-CF49-8DAD-51A0BF33DE44}">
  <dimension ref="A1:F12"/>
  <sheetViews>
    <sheetView workbookViewId="0">
      <selection activeCell="H70" sqref="H70:I70"/>
    </sheetView>
  </sheetViews>
  <sheetFormatPr defaultColWidth="11" defaultRowHeight="15.6"/>
  <cols>
    <col min="1" max="1" width="25.796875" bestFit="1" customWidth="1"/>
    <col min="2" max="2" width="17" bestFit="1" customWidth="1"/>
    <col min="3" max="3" width="12.19921875" bestFit="1" customWidth="1"/>
    <col min="4" max="5" width="19" bestFit="1" customWidth="1"/>
    <col min="6" max="7" width="12.19921875" bestFit="1" customWidth="1"/>
  </cols>
  <sheetData>
    <row r="1" spans="1:6">
      <c r="A1" s="104" t="s">
        <v>1517</v>
      </c>
      <c r="B1" t="s">
        <v>1729</v>
      </c>
    </row>
    <row r="3" spans="1:6">
      <c r="A3" s="104" t="s">
        <v>1730</v>
      </c>
      <c r="B3" s="104" t="s">
        <v>1731</v>
      </c>
    </row>
    <row r="4" spans="1:6">
      <c r="A4" s="104" t="s">
        <v>1732</v>
      </c>
      <c r="B4" t="s">
        <v>121</v>
      </c>
      <c r="C4" t="s">
        <v>319</v>
      </c>
      <c r="D4" t="s">
        <v>325</v>
      </c>
      <c r="E4" t="s">
        <v>322</v>
      </c>
      <c r="F4" t="s">
        <v>3</v>
      </c>
    </row>
    <row r="5" spans="1:6">
      <c r="A5" s="103" t="s">
        <v>114</v>
      </c>
      <c r="B5" s="105">
        <v>0.51469414163607796</v>
      </c>
      <c r="C5" s="105">
        <v>0.58921887624947178</v>
      </c>
      <c r="D5" s="105">
        <v>0.42934975165664818</v>
      </c>
      <c r="E5" s="105">
        <v>0.47237988611148468</v>
      </c>
      <c r="F5" s="105">
        <v>0.47613727652201265</v>
      </c>
    </row>
    <row r="6" spans="1:6">
      <c r="A6" s="103" t="s">
        <v>115</v>
      </c>
      <c r="B6" s="105">
        <v>0.48820786158799345</v>
      </c>
      <c r="C6" s="105"/>
      <c r="D6" s="105">
        <v>0.34025556053165595</v>
      </c>
      <c r="E6" s="105">
        <v>0.46487335376395256</v>
      </c>
      <c r="F6" s="105">
        <v>0.4713169143426823</v>
      </c>
    </row>
    <row r="7" spans="1:6">
      <c r="A7" s="103" t="s">
        <v>116</v>
      </c>
      <c r="B7" s="105">
        <v>0.42712702824346915</v>
      </c>
      <c r="C7" s="105"/>
      <c r="D7" s="105">
        <v>0.42280278749334171</v>
      </c>
      <c r="E7" s="105">
        <v>0.45347619873555506</v>
      </c>
      <c r="F7" s="105">
        <v>0.44087911516652795</v>
      </c>
    </row>
    <row r="8" spans="1:6">
      <c r="A8" s="103" t="s">
        <v>117</v>
      </c>
      <c r="B8" s="105">
        <v>0.56334888725105747</v>
      </c>
      <c r="C8" s="105">
        <v>0.20768101741600536</v>
      </c>
      <c r="D8" s="105">
        <v>0.26373869349635753</v>
      </c>
      <c r="E8" s="105">
        <v>0.25546622906633359</v>
      </c>
      <c r="F8" s="105">
        <v>0.37714975694719999</v>
      </c>
    </row>
    <row r="9" spans="1:6">
      <c r="A9" s="103" t="s">
        <v>120</v>
      </c>
      <c r="B9" s="105">
        <v>0.51004211884570916</v>
      </c>
      <c r="C9" s="105"/>
      <c r="D9" s="105"/>
      <c r="E9" s="105"/>
      <c r="F9" s="105">
        <v>0.51004211884570916</v>
      </c>
    </row>
    <row r="10" spans="1:6">
      <c r="A10" s="103" t="s">
        <v>118</v>
      </c>
      <c r="B10" s="105"/>
      <c r="C10" s="105">
        <v>0.38759913800838419</v>
      </c>
      <c r="D10" s="105">
        <v>0.38048146917592968</v>
      </c>
      <c r="E10" s="105">
        <v>0.47588237203290651</v>
      </c>
      <c r="F10" s="105">
        <v>0.39329629063710858</v>
      </c>
    </row>
    <row r="11" spans="1:6">
      <c r="A11" s="103" t="s">
        <v>119</v>
      </c>
      <c r="B11" s="105"/>
      <c r="C11" s="105">
        <v>0.36966417156547277</v>
      </c>
      <c r="D11" s="105">
        <v>0.34788264150143211</v>
      </c>
      <c r="E11" s="105">
        <v>0.33087096252612624</v>
      </c>
      <c r="F11" s="105">
        <v>0.35590654761966728</v>
      </c>
    </row>
    <row r="12" spans="1:6">
      <c r="A12" s="103" t="s">
        <v>3</v>
      </c>
      <c r="B12" s="105">
        <v>0.49475732430406366</v>
      </c>
      <c r="C12" s="105">
        <v>0.36633814705885626</v>
      </c>
      <c r="D12" s="105">
        <v>0.36269608536227804</v>
      </c>
      <c r="E12" s="105">
        <v>0.43592586397776528</v>
      </c>
      <c r="F12" s="105">
        <v>0.42426188045251878</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ED7EE-398F-584E-AEA3-64D361D4170A}">
  <dimension ref="A1:G73"/>
  <sheetViews>
    <sheetView workbookViewId="0">
      <selection activeCell="H70" sqref="H70:I70"/>
    </sheetView>
  </sheetViews>
  <sheetFormatPr defaultColWidth="11" defaultRowHeight="15.6"/>
  <cols>
    <col min="1" max="1" width="23.5" bestFit="1" customWidth="1"/>
    <col min="2" max="2" width="17" style="106" bestFit="1" customWidth="1"/>
    <col min="3" max="3" width="12.19921875" style="106" bestFit="1" customWidth="1"/>
    <col min="4" max="5" width="19" style="106" bestFit="1" customWidth="1"/>
    <col min="6" max="6" width="7" style="106" bestFit="1" customWidth="1"/>
    <col min="7" max="7" width="12.19921875" style="106" bestFit="1" customWidth="1"/>
    <col min="8" max="8" width="19" bestFit="1" customWidth="1"/>
    <col min="10" max="10" width="13" bestFit="1" customWidth="1"/>
    <col min="12" max="12" width="17.796875" bestFit="1" customWidth="1"/>
    <col min="13" max="13" width="15.5" bestFit="1" customWidth="1"/>
  </cols>
  <sheetData>
    <row r="1" spans="1:7">
      <c r="A1" s="104" t="s">
        <v>1518</v>
      </c>
      <c r="B1" s="106" t="s">
        <v>1729</v>
      </c>
    </row>
    <row r="3" spans="1:7">
      <c r="A3" s="104" t="s">
        <v>1733</v>
      </c>
      <c r="B3" s="107" t="s">
        <v>1731</v>
      </c>
    </row>
    <row r="4" spans="1:7">
      <c r="A4" s="104" t="s">
        <v>1732</v>
      </c>
      <c r="B4" s="106" t="s">
        <v>121</v>
      </c>
      <c r="C4" s="106" t="s">
        <v>319</v>
      </c>
      <c r="D4" s="106" t="s">
        <v>325</v>
      </c>
      <c r="E4" s="106" t="s">
        <v>322</v>
      </c>
      <c r="F4" s="106" t="s">
        <v>1734</v>
      </c>
      <c r="G4" s="106" t="s">
        <v>3</v>
      </c>
    </row>
    <row r="5" spans="1:7">
      <c r="A5" s="103" t="s">
        <v>114</v>
      </c>
      <c r="B5" s="106">
        <v>7.2819999999999991</v>
      </c>
      <c r="C5" s="106">
        <v>0.2</v>
      </c>
      <c r="D5" s="106">
        <v>6.9238461538461546</v>
      </c>
      <c r="E5" s="106">
        <v>6.1244444444444444</v>
      </c>
      <c r="G5" s="106">
        <v>6.6106060606060604</v>
      </c>
    </row>
    <row r="6" spans="1:7">
      <c r="A6" s="103" t="s">
        <v>115</v>
      </c>
      <c r="B6" s="106">
        <v>7.9029411764705912</v>
      </c>
      <c r="D6" s="106">
        <v>7.2600000000000007</v>
      </c>
      <c r="E6" s="106">
        <v>6.9674999999999994</v>
      </c>
      <c r="G6" s="106">
        <v>7.5781481481481512</v>
      </c>
    </row>
    <row r="7" spans="1:7">
      <c r="A7" s="103" t="s">
        <v>116</v>
      </c>
      <c r="B7" s="106">
        <v>3.9849999999999994</v>
      </c>
      <c r="D7" s="106">
        <v>4.0140000000000002</v>
      </c>
      <c r="E7" s="106">
        <v>4.0284210526315789</v>
      </c>
      <c r="G7" s="106">
        <v>4.0092499999999998</v>
      </c>
    </row>
    <row r="8" spans="1:7">
      <c r="A8" s="103" t="s">
        <v>117</v>
      </c>
      <c r="B8" s="106">
        <v>6.7050000000000001</v>
      </c>
      <c r="C8" s="106">
        <v>6.79</v>
      </c>
      <c r="D8" s="106">
        <v>6.2625000000000011</v>
      </c>
      <c r="E8" s="106">
        <v>5.0966666666666667</v>
      </c>
      <c r="G8" s="106">
        <v>6.3147619047619044</v>
      </c>
    </row>
    <row r="9" spans="1:7">
      <c r="A9" s="103" t="s">
        <v>120</v>
      </c>
      <c r="B9" s="106">
        <v>5.9466666666666663</v>
      </c>
      <c r="G9" s="106">
        <v>5.9466666666666663</v>
      </c>
    </row>
    <row r="10" spans="1:7">
      <c r="A10" s="103" t="s">
        <v>118</v>
      </c>
      <c r="C10" s="106">
        <v>5.26</v>
      </c>
      <c r="D10" s="106">
        <v>4.4383333333333335</v>
      </c>
      <c r="E10" s="106">
        <v>5.15</v>
      </c>
      <c r="G10" s="106">
        <v>4.63</v>
      </c>
    </row>
    <row r="11" spans="1:7">
      <c r="A11" s="103" t="s">
        <v>119</v>
      </c>
      <c r="B11" s="106">
        <v>7.04</v>
      </c>
      <c r="C11" s="106">
        <v>3.3263636363636362</v>
      </c>
      <c r="D11" s="106">
        <v>2.9573684210526316</v>
      </c>
      <c r="E11" s="106">
        <v>3.1466666666666669</v>
      </c>
      <c r="G11" s="106">
        <v>3.235208333333333</v>
      </c>
    </row>
    <row r="12" spans="1:7">
      <c r="A12" s="103" t="s">
        <v>1734</v>
      </c>
    </row>
    <row r="13" spans="1:7">
      <c r="A13" s="103" t="s">
        <v>3</v>
      </c>
      <c r="B13" s="106">
        <v>6.7194444444444459</v>
      </c>
      <c r="C13" s="106">
        <v>3.5469230769230764</v>
      </c>
      <c r="D13" s="106">
        <v>4.9461818181818185</v>
      </c>
      <c r="E13" s="106">
        <v>5.2307407407407389</v>
      </c>
      <c r="G13" s="106">
        <v>5.4614492753623196</v>
      </c>
    </row>
    <row r="16" spans="1:7">
      <c r="A16" s="104" t="s">
        <v>1518</v>
      </c>
      <c r="B16" s="106" t="s">
        <v>1729</v>
      </c>
    </row>
    <row r="18" spans="1:7">
      <c r="A18" s="104" t="s">
        <v>1735</v>
      </c>
      <c r="B18" s="107" t="s">
        <v>1731</v>
      </c>
    </row>
    <row r="19" spans="1:7">
      <c r="A19" s="104" t="s">
        <v>1732</v>
      </c>
      <c r="B19" s="106" t="s">
        <v>121</v>
      </c>
      <c r="C19" s="106" t="s">
        <v>319</v>
      </c>
      <c r="D19" s="106" t="s">
        <v>325</v>
      </c>
      <c r="E19" s="106" t="s">
        <v>322</v>
      </c>
      <c r="F19" s="106" t="s">
        <v>1734</v>
      </c>
      <c r="G19" s="106" t="s">
        <v>3</v>
      </c>
    </row>
    <row r="20" spans="1:7">
      <c r="A20" s="103" t="s">
        <v>114</v>
      </c>
      <c r="B20" s="106">
        <v>12.249999999999998</v>
      </c>
      <c r="C20" s="106">
        <v>0.2</v>
      </c>
      <c r="D20" s="106">
        <v>11.136153846153848</v>
      </c>
      <c r="E20" s="106">
        <v>10.565555555555555</v>
      </c>
      <c r="G20" s="106">
        <v>10.98666666666667</v>
      </c>
    </row>
    <row r="21" spans="1:7">
      <c r="A21" s="103" t="s">
        <v>115</v>
      </c>
      <c r="B21" s="106">
        <v>13.135882352941175</v>
      </c>
      <c r="D21" s="106">
        <v>12.290000000000001</v>
      </c>
      <c r="E21" s="106">
        <v>12.156874999999999</v>
      </c>
      <c r="G21" s="106">
        <v>12.783148148148143</v>
      </c>
    </row>
    <row r="22" spans="1:7">
      <c r="A22" s="103" t="s">
        <v>116</v>
      </c>
      <c r="B22" s="106">
        <v>8.5437499999999993</v>
      </c>
      <c r="D22" s="106">
        <v>8.5500000000000007</v>
      </c>
      <c r="E22" s="106">
        <v>8.5973684210526304</v>
      </c>
      <c r="G22" s="106">
        <v>8.5700000000000021</v>
      </c>
    </row>
    <row r="23" spans="1:7">
      <c r="A23" s="103" t="s">
        <v>117</v>
      </c>
      <c r="B23" s="106">
        <v>11.649999999999999</v>
      </c>
      <c r="C23" s="106">
        <v>11.225000000000001</v>
      </c>
      <c r="D23" s="106">
        <v>10.833750000000002</v>
      </c>
      <c r="E23" s="106">
        <v>10.17</v>
      </c>
      <c r="G23" s="106">
        <v>11.087142857142855</v>
      </c>
    </row>
    <row r="24" spans="1:7">
      <c r="A24" s="103" t="s">
        <v>120</v>
      </c>
      <c r="B24" s="106">
        <v>11.07</v>
      </c>
      <c r="G24" s="106">
        <v>11.07</v>
      </c>
    </row>
    <row r="25" spans="1:7">
      <c r="A25" s="103" t="s">
        <v>118</v>
      </c>
      <c r="C25" s="106">
        <v>9.41</v>
      </c>
      <c r="D25" s="106">
        <v>8.6483333333333334</v>
      </c>
      <c r="E25" s="106">
        <v>9.52</v>
      </c>
      <c r="G25" s="106">
        <v>8.8524999999999991</v>
      </c>
    </row>
    <row r="26" spans="1:7">
      <c r="A26" s="103" t="s">
        <v>119</v>
      </c>
      <c r="B26" s="106">
        <v>12.64</v>
      </c>
      <c r="C26" s="106">
        <v>7.0522727272727277</v>
      </c>
      <c r="D26" s="106">
        <v>6.7542105263157888</v>
      </c>
      <c r="E26" s="106">
        <v>6.1883333333333326</v>
      </c>
      <c r="G26" s="106">
        <v>6.9427083333333348</v>
      </c>
    </row>
    <row r="27" spans="1:7">
      <c r="A27" s="103" t="s">
        <v>1734</v>
      </c>
    </row>
    <row r="28" spans="1:7">
      <c r="A28" s="103" t="s">
        <v>3</v>
      </c>
      <c r="B28" s="106">
        <v>11.734305555555556</v>
      </c>
      <c r="C28" s="106">
        <v>7.2003846153846158</v>
      </c>
      <c r="D28" s="106">
        <v>9.1558181818181836</v>
      </c>
      <c r="E28" s="106">
        <v>9.8168518518518546</v>
      </c>
      <c r="G28" s="106">
        <v>9.9795169082125614</v>
      </c>
    </row>
    <row r="31" spans="1:7">
      <c r="A31" s="104" t="s">
        <v>1518</v>
      </c>
      <c r="B31" s="106" t="s">
        <v>1729</v>
      </c>
    </row>
    <row r="33" spans="1:7">
      <c r="A33" s="104" t="s">
        <v>1736</v>
      </c>
      <c r="B33" s="107" t="s">
        <v>1731</v>
      </c>
    </row>
    <row r="34" spans="1:7">
      <c r="A34" s="104" t="s">
        <v>1732</v>
      </c>
      <c r="B34" s="106" t="s">
        <v>121</v>
      </c>
      <c r="C34" s="106" t="s">
        <v>319</v>
      </c>
      <c r="D34" s="106" t="s">
        <v>325</v>
      </c>
      <c r="E34" s="106" t="s">
        <v>322</v>
      </c>
      <c r="F34" s="106" t="s">
        <v>1734</v>
      </c>
      <c r="G34" s="106" t="s">
        <v>3</v>
      </c>
    </row>
    <row r="35" spans="1:7">
      <c r="A35" s="103" t="s">
        <v>114</v>
      </c>
      <c r="B35" s="106">
        <v>16.434000000000001</v>
      </c>
      <c r="C35" s="106">
        <v>0.2</v>
      </c>
      <c r="D35" s="106">
        <v>15.378461538461538</v>
      </c>
      <c r="E35" s="106">
        <v>15.218888888888889</v>
      </c>
      <c r="G35" s="106">
        <v>15.194848484848483</v>
      </c>
    </row>
    <row r="36" spans="1:7">
      <c r="A36" s="103" t="s">
        <v>115</v>
      </c>
      <c r="B36" s="106">
        <v>17.265588235294121</v>
      </c>
      <c r="D36" s="106">
        <v>16.61</v>
      </c>
      <c r="E36" s="106">
        <v>16.620625</v>
      </c>
      <c r="G36" s="106">
        <v>17.025925925925929</v>
      </c>
    </row>
    <row r="37" spans="1:7">
      <c r="A37" s="103" t="s">
        <v>116</v>
      </c>
      <c r="B37" s="106">
        <v>13.252500000000001</v>
      </c>
      <c r="D37" s="106">
        <v>13.388</v>
      </c>
      <c r="E37" s="106">
        <v>13.323684210526316</v>
      </c>
      <c r="G37" s="106">
        <v>13.303250000000002</v>
      </c>
    </row>
    <row r="38" spans="1:7">
      <c r="A38" s="103" t="s">
        <v>117</v>
      </c>
      <c r="B38" s="106">
        <v>16.682500000000001</v>
      </c>
      <c r="C38" s="106">
        <v>15.475</v>
      </c>
      <c r="D38" s="106">
        <v>15.25375</v>
      </c>
      <c r="E38" s="106">
        <v>15.17</v>
      </c>
      <c r="G38" s="106">
        <v>15.807142857142853</v>
      </c>
    </row>
    <row r="39" spans="1:7">
      <c r="A39" s="103" t="s">
        <v>120</v>
      </c>
      <c r="B39" s="106">
        <v>15.86</v>
      </c>
      <c r="G39" s="106">
        <v>15.86</v>
      </c>
    </row>
    <row r="40" spans="1:7">
      <c r="A40" s="103" t="s">
        <v>118</v>
      </c>
      <c r="C40" s="106">
        <v>13.07</v>
      </c>
      <c r="D40" s="106">
        <v>13.041666666666666</v>
      </c>
      <c r="E40" s="106">
        <v>13.84</v>
      </c>
      <c r="G40" s="106">
        <v>13.145</v>
      </c>
    </row>
    <row r="41" spans="1:7">
      <c r="A41" s="103" t="s">
        <v>119</v>
      </c>
      <c r="B41" s="106">
        <v>17.61</v>
      </c>
      <c r="C41" s="106">
        <v>11.16272727272727</v>
      </c>
      <c r="D41" s="106">
        <v>11.275263157894738</v>
      </c>
      <c r="E41" s="106">
        <v>10.623333333333333</v>
      </c>
      <c r="G41" s="106">
        <v>11.274166666666664</v>
      </c>
    </row>
    <row r="42" spans="1:7">
      <c r="A42" s="103" t="s">
        <v>1734</v>
      </c>
    </row>
    <row r="43" spans="1:7">
      <c r="A43" s="103" t="s">
        <v>3</v>
      </c>
      <c r="B43" s="106">
        <v>16.139722222222218</v>
      </c>
      <c r="C43" s="106">
        <v>11.146153846153844</v>
      </c>
      <c r="D43" s="106">
        <v>13.596545454545458</v>
      </c>
      <c r="E43" s="106">
        <v>14.428518518518523</v>
      </c>
      <c r="G43" s="106">
        <v>14.390386473429951</v>
      </c>
    </row>
    <row r="46" spans="1:7">
      <c r="A46" s="104" t="s">
        <v>1518</v>
      </c>
      <c r="B46" s="106" t="s">
        <v>1729</v>
      </c>
    </row>
    <row r="48" spans="1:7">
      <c r="A48" s="104" t="s">
        <v>1737</v>
      </c>
      <c r="B48" s="107" t="s">
        <v>1731</v>
      </c>
    </row>
    <row r="49" spans="1:7">
      <c r="A49" s="104" t="s">
        <v>1732</v>
      </c>
      <c r="B49" s="106" t="s">
        <v>121</v>
      </c>
      <c r="C49" s="106" t="s">
        <v>319</v>
      </c>
      <c r="D49" s="106" t="s">
        <v>325</v>
      </c>
      <c r="E49" s="106" t="s">
        <v>322</v>
      </c>
      <c r="F49" s="106" t="s">
        <v>1734</v>
      </c>
      <c r="G49" s="106" t="s">
        <v>3</v>
      </c>
    </row>
    <row r="50" spans="1:7">
      <c r="A50" s="103" t="s">
        <v>114</v>
      </c>
      <c r="B50" s="106">
        <v>22.161000000000001</v>
      </c>
      <c r="C50" s="106">
        <v>0.2</v>
      </c>
      <c r="D50" s="106">
        <v>21.401538461538458</v>
      </c>
      <c r="E50" s="106">
        <v>22.213333333333328</v>
      </c>
      <c r="G50" s="106">
        <v>21.210606060606061</v>
      </c>
    </row>
    <row r="51" spans="1:7">
      <c r="A51" s="103" t="s">
        <v>115</v>
      </c>
      <c r="B51" s="106">
        <v>22.71970588235294</v>
      </c>
      <c r="D51" s="106">
        <v>22.55</v>
      </c>
      <c r="E51" s="106">
        <v>22.696874999999999</v>
      </c>
      <c r="G51" s="106">
        <v>22.700370370370365</v>
      </c>
    </row>
    <row r="52" spans="1:7">
      <c r="A52" s="103" t="s">
        <v>116</v>
      </c>
      <c r="B52" s="106">
        <v>20.580000000000002</v>
      </c>
      <c r="D52" s="106">
        <v>20.892000000000003</v>
      </c>
      <c r="E52" s="106">
        <v>20.531052631578948</v>
      </c>
      <c r="G52" s="106">
        <v>20.595749999999999</v>
      </c>
    </row>
    <row r="53" spans="1:7">
      <c r="A53" s="103" t="s">
        <v>117</v>
      </c>
      <c r="B53" s="106">
        <v>23.137499999999996</v>
      </c>
      <c r="C53" s="106">
        <v>21.740000000000002</v>
      </c>
      <c r="D53" s="106">
        <v>21.696250000000003</v>
      </c>
      <c r="E53" s="106">
        <v>22.150000000000002</v>
      </c>
      <c r="G53" s="106">
        <v>22.314285714285713</v>
      </c>
    </row>
    <row r="54" spans="1:7">
      <c r="A54" s="103" t="s">
        <v>120</v>
      </c>
      <c r="B54" s="106">
        <v>22.663333333333338</v>
      </c>
      <c r="G54" s="106">
        <v>22.663333333333338</v>
      </c>
    </row>
    <row r="55" spans="1:7">
      <c r="A55" s="103" t="s">
        <v>118</v>
      </c>
      <c r="C55" s="106">
        <v>20.71</v>
      </c>
      <c r="D55" s="106">
        <v>20.346666666666668</v>
      </c>
      <c r="E55" s="106">
        <v>20.98</v>
      </c>
      <c r="G55" s="106">
        <v>20.471249999999998</v>
      </c>
    </row>
    <row r="56" spans="1:7">
      <c r="A56" s="103" t="s">
        <v>119</v>
      </c>
      <c r="B56" s="106">
        <v>23.61</v>
      </c>
      <c r="C56" s="106">
        <v>18.773636363636363</v>
      </c>
      <c r="D56" s="106">
        <v>18.796842105263156</v>
      </c>
      <c r="E56" s="106">
        <v>19.118333333333336</v>
      </c>
      <c r="G56" s="106">
        <v>18.926666666666666</v>
      </c>
    </row>
    <row r="57" spans="1:7">
      <c r="A57" s="103" t="s">
        <v>1734</v>
      </c>
    </row>
    <row r="58" spans="1:7">
      <c r="A58" s="103" t="s">
        <v>3</v>
      </c>
      <c r="B58" s="106">
        <v>22.223055555555554</v>
      </c>
      <c r="C58" s="106">
        <v>18.361923076923077</v>
      </c>
      <c r="D58" s="106">
        <v>20.466727272727269</v>
      </c>
      <c r="E58" s="106">
        <v>21.394444444444439</v>
      </c>
      <c r="G58" s="106">
        <v>21.055265700483091</v>
      </c>
    </row>
    <row r="61" spans="1:7">
      <c r="A61" s="104" t="s">
        <v>1518</v>
      </c>
      <c r="B61" s="106" t="s">
        <v>1729</v>
      </c>
    </row>
    <row r="63" spans="1:7">
      <c r="A63" s="104" t="s">
        <v>1738</v>
      </c>
      <c r="B63" s="107" t="s">
        <v>1731</v>
      </c>
    </row>
    <row r="64" spans="1:7">
      <c r="A64" s="104" t="s">
        <v>1732</v>
      </c>
      <c r="B64" s="106" t="s">
        <v>121</v>
      </c>
      <c r="C64" s="106" t="s">
        <v>319</v>
      </c>
      <c r="D64" s="106" t="s">
        <v>325</v>
      </c>
      <c r="E64" s="106" t="s">
        <v>322</v>
      </c>
      <c r="F64" s="106" t="s">
        <v>1734</v>
      </c>
      <c r="G64" s="106" t="s">
        <v>3</v>
      </c>
    </row>
    <row r="65" spans="1:7">
      <c r="A65" s="103" t="s">
        <v>114</v>
      </c>
      <c r="B65" s="106">
        <v>41.876999999999995</v>
      </c>
      <c r="C65" s="106">
        <v>0.2</v>
      </c>
      <c r="D65" s="106">
        <v>45.161538461538463</v>
      </c>
      <c r="E65" s="106">
        <v>45.878888888888895</v>
      </c>
      <c r="G65" s="106">
        <v>42.99939393939394</v>
      </c>
    </row>
    <row r="66" spans="1:7">
      <c r="A66" s="103" t="s">
        <v>115</v>
      </c>
      <c r="B66" s="106">
        <v>38.974117647058833</v>
      </c>
      <c r="D66" s="106">
        <v>41.287500000000001</v>
      </c>
      <c r="E66" s="106">
        <v>41.561250000000001</v>
      </c>
      <c r="G66" s="106">
        <v>39.912037037037045</v>
      </c>
    </row>
    <row r="67" spans="1:7">
      <c r="A67" s="103" t="s">
        <v>116</v>
      </c>
      <c r="B67" s="106">
        <v>53.643125000000005</v>
      </c>
      <c r="D67" s="106">
        <v>53.152000000000008</v>
      </c>
      <c r="E67" s="106">
        <v>53.518421052631581</v>
      </c>
      <c r="G67" s="106">
        <v>53.522500000000001</v>
      </c>
    </row>
    <row r="68" spans="1:7">
      <c r="A68" s="103" t="s">
        <v>117</v>
      </c>
      <c r="B68" s="106">
        <v>41.823749999999997</v>
      </c>
      <c r="C68" s="106">
        <v>44.765000000000001</v>
      </c>
      <c r="D68" s="106">
        <v>45.952500000000001</v>
      </c>
      <c r="E68" s="106">
        <v>47.413333333333334</v>
      </c>
      <c r="G68" s="106">
        <v>44.475238095238105</v>
      </c>
    </row>
    <row r="69" spans="1:7">
      <c r="A69" s="103" t="s">
        <v>120</v>
      </c>
      <c r="B69" s="106">
        <v>44.46</v>
      </c>
      <c r="G69" s="106">
        <v>44.46</v>
      </c>
    </row>
    <row r="70" spans="1:7">
      <c r="A70" s="103" t="s">
        <v>118</v>
      </c>
      <c r="C70" s="106">
        <v>51.56</v>
      </c>
      <c r="D70" s="106">
        <v>53.528333333333336</v>
      </c>
      <c r="E70" s="106">
        <v>50.5</v>
      </c>
      <c r="G70" s="106">
        <v>52.903750000000002</v>
      </c>
    </row>
    <row r="71" spans="1:7">
      <c r="A71" s="103" t="s">
        <v>119</v>
      </c>
      <c r="B71" s="106">
        <v>39.1</v>
      </c>
      <c r="C71" s="106">
        <v>59.68181818181818</v>
      </c>
      <c r="D71" s="106">
        <v>60.216842105263161</v>
      </c>
      <c r="E71" s="106">
        <v>60.916666666666664</v>
      </c>
      <c r="G71" s="106">
        <v>59.619166666666672</v>
      </c>
    </row>
    <row r="72" spans="1:7">
      <c r="A72" s="103" t="s">
        <v>1734</v>
      </c>
    </row>
    <row r="73" spans="1:7">
      <c r="A73" s="103" t="s">
        <v>3</v>
      </c>
      <c r="B73" s="106">
        <v>43.1840277777778</v>
      </c>
      <c r="C73" s="106">
        <v>55.934230769230766</v>
      </c>
      <c r="D73" s="106">
        <v>51.834909090909093</v>
      </c>
      <c r="E73" s="106">
        <v>49.12925925925925</v>
      </c>
      <c r="G73" s="106">
        <v>48.634975845410636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7B2A8-7E28-5243-B3CD-EAE4144FF65F}">
  <sheetPr>
    <tabColor theme="2" tint="-9.9978637043366805E-2"/>
  </sheetPr>
  <dimension ref="A1:G255"/>
  <sheetViews>
    <sheetView showGridLines="0" zoomScale="85" zoomScaleNormal="234" workbookViewId="0">
      <selection activeCell="D117" sqref="D117"/>
    </sheetView>
  </sheetViews>
  <sheetFormatPr defaultColWidth="10.69921875" defaultRowHeight="15.6" outlineLevelRow="2"/>
  <cols>
    <col min="1" max="1" width="35.296875" style="213" customWidth="1"/>
    <col min="2" max="2" width="12.796875" bestFit="1" customWidth="1"/>
    <col min="3" max="3" width="18.296875" bestFit="1" customWidth="1"/>
    <col min="4" max="4" width="18.296875" customWidth="1"/>
    <col min="5" max="5" width="15.796875" customWidth="1"/>
    <col min="6" max="6" width="25.296875" customWidth="1"/>
    <col min="7" max="7" width="60.5" customWidth="1"/>
  </cols>
  <sheetData>
    <row r="1" spans="1:7" s="87" customFormat="1" ht="33" customHeight="1">
      <c r="A1" s="85"/>
      <c r="B1" s="85" t="s">
        <v>83</v>
      </c>
      <c r="C1" s="85" t="s">
        <v>84</v>
      </c>
      <c r="D1" s="85" t="s">
        <v>1739</v>
      </c>
      <c r="E1" s="85" t="s">
        <v>212</v>
      </c>
      <c r="F1" s="86" t="s">
        <v>85</v>
      </c>
      <c r="G1" s="86" t="s">
        <v>126</v>
      </c>
    </row>
    <row r="2" spans="1:7">
      <c r="A2" s="6"/>
      <c r="B2" s="6"/>
      <c r="C2" s="6"/>
    </row>
    <row r="3" spans="1:7">
      <c r="A3" t="s">
        <v>86</v>
      </c>
      <c r="B3" s="256">
        <v>59446</v>
      </c>
      <c r="C3" t="s">
        <v>1748</v>
      </c>
      <c r="D3" t="s">
        <v>53</v>
      </c>
      <c r="E3" t="s">
        <v>1741</v>
      </c>
      <c r="F3" t="s">
        <v>127</v>
      </c>
      <c r="G3" t="s">
        <v>128</v>
      </c>
    </row>
    <row r="4" spans="1:7">
      <c r="A4" t="s">
        <v>88</v>
      </c>
      <c r="B4" s="257">
        <v>2023</v>
      </c>
      <c r="C4" t="s">
        <v>0</v>
      </c>
      <c r="D4" t="s">
        <v>1743</v>
      </c>
      <c r="E4" t="s">
        <v>135</v>
      </c>
      <c r="G4" t="s">
        <v>129</v>
      </c>
    </row>
    <row r="5" spans="1:7">
      <c r="A5" t="s">
        <v>89</v>
      </c>
      <c r="B5" s="259">
        <f>AVERAGEIFS('HUT 2023 | VI'!$G$2:$G$154,'HUT 2023 | VI'!$C$2:$C$154,"Country")</f>
        <v>0.75808919730457858</v>
      </c>
      <c r="C5" t="s">
        <v>1749</v>
      </c>
      <c r="D5" t="s">
        <v>53</v>
      </c>
      <c r="E5" t="s">
        <v>1741</v>
      </c>
      <c r="F5" t="s">
        <v>1746</v>
      </c>
      <c r="G5" t="s">
        <v>131</v>
      </c>
    </row>
    <row r="6" spans="1:7" ht="16.05" customHeight="1">
      <c r="A6" s="6"/>
      <c r="B6" s="6"/>
      <c r="C6" s="6"/>
    </row>
    <row r="7" spans="1:7" s="245" customFormat="1" ht="15">
      <c r="A7" s="244" t="s">
        <v>1802</v>
      </c>
      <c r="B7" s="244"/>
      <c r="C7" s="244"/>
    </row>
    <row r="8" spans="1:7" ht="16.05" customHeight="1" outlineLevel="1">
      <c r="A8" s="6"/>
      <c r="B8" s="6"/>
      <c r="C8" s="6"/>
    </row>
    <row r="9" spans="1:7" s="10" customFormat="1" outlineLevel="1">
      <c r="A9" s="242" t="s">
        <v>132</v>
      </c>
      <c r="B9" s="9"/>
      <c r="C9" s="9"/>
    </row>
    <row r="10" spans="1:7" outlineLevel="2">
      <c r="A10" s="213" t="s">
        <v>133</v>
      </c>
      <c r="B10" s="248">
        <v>100</v>
      </c>
      <c r="C10" t="s">
        <v>134</v>
      </c>
      <c r="D10" t="s">
        <v>42</v>
      </c>
      <c r="E10" t="s">
        <v>135</v>
      </c>
    </row>
    <row r="11" spans="1:7" outlineLevel="2">
      <c r="A11" s="213" t="s">
        <v>136</v>
      </c>
      <c r="B11" s="249">
        <f>VLOOKUP("France",'HEALTH | VI'!A:L,12,)</f>
        <v>2.6871029359318904E-3</v>
      </c>
      <c r="C11" t="s">
        <v>137</v>
      </c>
      <c r="D11" t="s">
        <v>49</v>
      </c>
      <c r="E11" t="s">
        <v>1741</v>
      </c>
      <c r="F11" t="s">
        <v>138</v>
      </c>
    </row>
    <row r="12" spans="1:7" outlineLevel="2">
      <c r="B12" s="88"/>
    </row>
    <row r="13" spans="1:7" outlineLevel="2">
      <c r="A13" s="243" t="s">
        <v>139</v>
      </c>
      <c r="B13" s="88"/>
    </row>
    <row r="14" spans="1:7" outlineLevel="2">
      <c r="A14" s="213" t="s">
        <v>140</v>
      </c>
      <c r="B14" s="250">
        <v>1</v>
      </c>
      <c r="C14" t="s">
        <v>141</v>
      </c>
      <c r="D14" t="s">
        <v>1744</v>
      </c>
      <c r="E14" t="s">
        <v>1740</v>
      </c>
    </row>
    <row r="15" spans="1:7" outlineLevel="2">
      <c r="A15" s="213" t="s">
        <v>142</v>
      </c>
      <c r="B15" s="250">
        <v>1</v>
      </c>
      <c r="C15" t="s">
        <v>141</v>
      </c>
      <c r="D15" t="s">
        <v>1745</v>
      </c>
      <c r="E15" t="s">
        <v>1740</v>
      </c>
    </row>
    <row r="16" spans="1:7" outlineLevel="2">
      <c r="A16" s="213" t="s">
        <v>143</v>
      </c>
      <c r="B16" s="250">
        <v>1</v>
      </c>
      <c r="C16" t="s">
        <v>141</v>
      </c>
      <c r="D16" t="s">
        <v>143</v>
      </c>
      <c r="E16" t="s">
        <v>1740</v>
      </c>
    </row>
    <row r="17" spans="1:6" outlineLevel="1">
      <c r="B17" s="89"/>
    </row>
    <row r="18" spans="1:6" s="10" customFormat="1" outlineLevel="1">
      <c r="A18" s="242" t="s">
        <v>144</v>
      </c>
      <c r="B18" s="9"/>
      <c r="C18" s="9"/>
    </row>
    <row r="19" spans="1:6" outlineLevel="2">
      <c r="A19" s="213" t="s">
        <v>133</v>
      </c>
      <c r="B19" s="248">
        <v>100</v>
      </c>
      <c r="C19" t="s">
        <v>134</v>
      </c>
      <c r="D19" t="s">
        <v>42</v>
      </c>
      <c r="E19" t="s">
        <v>135</v>
      </c>
    </row>
    <row r="20" spans="1:6" outlineLevel="2">
      <c r="A20" s="213" t="s">
        <v>145</v>
      </c>
      <c r="B20" s="250">
        <v>0.05</v>
      </c>
      <c r="C20" t="s">
        <v>141</v>
      </c>
      <c r="D20" t="s">
        <v>49</v>
      </c>
      <c r="E20" t="s">
        <v>1741</v>
      </c>
      <c r="F20" t="s">
        <v>146</v>
      </c>
    </row>
    <row r="21" spans="1:6" outlineLevel="2">
      <c r="A21" s="213" t="s">
        <v>147</v>
      </c>
      <c r="B21" s="251">
        <v>0.5</v>
      </c>
      <c r="C21" t="s">
        <v>60</v>
      </c>
      <c r="D21" t="s">
        <v>49</v>
      </c>
      <c r="E21" t="s">
        <v>1742</v>
      </c>
    </row>
    <row r="22" spans="1:6" outlineLevel="2">
      <c r="B22" s="88"/>
    </row>
    <row r="23" spans="1:6" outlineLevel="2">
      <c r="A23" s="243" t="s">
        <v>139</v>
      </c>
      <c r="B23" s="88"/>
    </row>
    <row r="24" spans="1:6" outlineLevel="2">
      <c r="A24" s="213" t="s">
        <v>140</v>
      </c>
      <c r="B24" s="250">
        <v>0.5</v>
      </c>
      <c r="C24" t="s">
        <v>141</v>
      </c>
      <c r="D24" t="s">
        <v>1744</v>
      </c>
      <c r="E24" t="s">
        <v>1740</v>
      </c>
    </row>
    <row r="25" spans="1:6" outlineLevel="2">
      <c r="A25" s="213" t="s">
        <v>142</v>
      </c>
      <c r="B25" s="250">
        <v>0.2</v>
      </c>
      <c r="C25" t="s">
        <v>141</v>
      </c>
      <c r="D25" t="s">
        <v>1745</v>
      </c>
      <c r="E25" t="s">
        <v>1740</v>
      </c>
    </row>
    <row r="26" spans="1:6" outlineLevel="2">
      <c r="A26" s="213" t="s">
        <v>143</v>
      </c>
      <c r="B26" s="250">
        <v>1</v>
      </c>
      <c r="C26" t="s">
        <v>141</v>
      </c>
      <c r="D26" t="s">
        <v>143</v>
      </c>
      <c r="E26" t="s">
        <v>1740</v>
      </c>
    </row>
    <row r="27" spans="1:6" outlineLevel="1"/>
    <row r="28" spans="1:6" s="10" customFormat="1" outlineLevel="1">
      <c r="A28" s="242" t="s">
        <v>148</v>
      </c>
      <c r="B28" s="9"/>
      <c r="C28" s="9"/>
    </row>
    <row r="29" spans="1:6" outlineLevel="2">
      <c r="A29" s="213" t="s">
        <v>149</v>
      </c>
      <c r="B29" s="252">
        <v>100</v>
      </c>
      <c r="C29" t="s">
        <v>150</v>
      </c>
      <c r="D29" t="s">
        <v>42</v>
      </c>
      <c r="E29" t="s">
        <v>135</v>
      </c>
    </row>
    <row r="30" spans="1:6" outlineLevel="2">
      <c r="A30" s="213" t="s">
        <v>151</v>
      </c>
      <c r="B30" s="253">
        <f>VLOOKUP("France",'Wages | VI '!A:AB,22,)</f>
        <v>38048.6167484619</v>
      </c>
      <c r="C30" t="s">
        <v>152</v>
      </c>
      <c r="D30" t="s">
        <v>49</v>
      </c>
      <c r="E30" t="s">
        <v>1741</v>
      </c>
      <c r="F30" t="s">
        <v>153</v>
      </c>
    </row>
    <row r="31" spans="1:6" outlineLevel="2">
      <c r="A31" s="213" t="s">
        <v>154</v>
      </c>
      <c r="B31" s="253">
        <f>VLOOKUP("France",'LW2023-24 | VI'!B:I,8,)</f>
        <v>18115.446897765556</v>
      </c>
      <c r="C31" t="s">
        <v>152</v>
      </c>
      <c r="D31" t="s">
        <v>49</v>
      </c>
      <c r="E31" t="s">
        <v>1741</v>
      </c>
      <c r="F31" t="s">
        <v>155</v>
      </c>
    </row>
    <row r="32" spans="1:6" outlineLevel="2">
      <c r="A32" s="213" t="s">
        <v>156</v>
      </c>
      <c r="B32" s="250">
        <v>0.4</v>
      </c>
      <c r="C32" t="s">
        <v>141</v>
      </c>
      <c r="D32" t="s">
        <v>49</v>
      </c>
      <c r="E32" t="s">
        <v>1741</v>
      </c>
    </row>
    <row r="33" spans="1:6" outlineLevel="2"/>
    <row r="34" spans="1:6" outlineLevel="2">
      <c r="A34" s="243" t="s">
        <v>157</v>
      </c>
      <c r="B34" s="88"/>
    </row>
    <row r="35" spans="1:6" outlineLevel="2">
      <c r="A35" s="213" t="s">
        <v>140</v>
      </c>
      <c r="B35" s="250">
        <v>1</v>
      </c>
      <c r="C35" t="s">
        <v>141</v>
      </c>
      <c r="D35" t="s">
        <v>1744</v>
      </c>
      <c r="E35" t="s">
        <v>1740</v>
      </c>
    </row>
    <row r="36" spans="1:6" outlineLevel="2">
      <c r="A36" s="213" t="s">
        <v>142</v>
      </c>
      <c r="B36" s="250">
        <v>1</v>
      </c>
      <c r="C36" t="s">
        <v>141</v>
      </c>
      <c r="D36" t="s">
        <v>1745</v>
      </c>
      <c r="E36" t="s">
        <v>1740</v>
      </c>
    </row>
    <row r="37" spans="1:6" outlineLevel="2">
      <c r="A37" s="213" t="s">
        <v>143</v>
      </c>
      <c r="B37" s="250">
        <v>1</v>
      </c>
      <c r="C37" t="s">
        <v>141</v>
      </c>
      <c r="D37" t="s">
        <v>143</v>
      </c>
      <c r="E37" t="s">
        <v>1740</v>
      </c>
    </row>
    <row r="38" spans="1:6" outlineLevel="1">
      <c r="B38" s="89"/>
    </row>
    <row r="39" spans="1:6" s="10" customFormat="1" outlineLevel="1">
      <c r="A39" s="242" t="s">
        <v>13</v>
      </c>
      <c r="B39" s="9"/>
      <c r="C39" s="9"/>
    </row>
    <row r="40" spans="1:6" outlineLevel="2">
      <c r="A40" s="213" t="s">
        <v>133</v>
      </c>
      <c r="B40" s="252">
        <v>100</v>
      </c>
      <c r="C40" t="s">
        <v>134</v>
      </c>
      <c r="D40" t="s">
        <v>42</v>
      </c>
      <c r="E40" t="s">
        <v>135</v>
      </c>
    </row>
    <row r="41" spans="1:6" outlineLevel="2">
      <c r="A41" s="213" t="s">
        <v>158</v>
      </c>
      <c r="B41" s="252">
        <v>40</v>
      </c>
      <c r="C41" t="s">
        <v>1747</v>
      </c>
      <c r="D41" t="s">
        <v>42</v>
      </c>
      <c r="E41" t="s">
        <v>135</v>
      </c>
    </row>
    <row r="42" spans="1:6" outlineLevel="2">
      <c r="A42" s="213" t="s">
        <v>1837</v>
      </c>
      <c r="B42" s="261">
        <f>B40*B41</f>
        <v>4000</v>
      </c>
      <c r="C42" t="s">
        <v>106</v>
      </c>
      <c r="D42" t="s">
        <v>42</v>
      </c>
      <c r="E42" t="s">
        <v>135</v>
      </c>
    </row>
    <row r="43" spans="1:6" outlineLevel="2">
      <c r="A43" s="213" t="s">
        <v>159</v>
      </c>
      <c r="B43" s="253">
        <f>VLOOKUP("France",'EDU | VI'!A:P,12,)</f>
        <v>39.419074074074075</v>
      </c>
      <c r="C43" t="s">
        <v>160</v>
      </c>
      <c r="D43" t="s">
        <v>49</v>
      </c>
      <c r="E43" t="s">
        <v>1741</v>
      </c>
      <c r="F43" t="s">
        <v>1924</v>
      </c>
    </row>
    <row r="44" spans="1:6" outlineLevel="2">
      <c r="A44" s="213" t="s">
        <v>161</v>
      </c>
      <c r="B44" s="253">
        <v>20</v>
      </c>
      <c r="C44" t="s">
        <v>108</v>
      </c>
      <c r="D44" t="s">
        <v>49</v>
      </c>
      <c r="E44" t="s">
        <v>1740</v>
      </c>
    </row>
    <row r="45" spans="1:6" outlineLevel="2"/>
    <row r="46" spans="1:6" outlineLevel="2">
      <c r="A46" s="243" t="s">
        <v>162</v>
      </c>
      <c r="B46" s="88"/>
    </row>
    <row r="47" spans="1:6" outlineLevel="2">
      <c r="A47" s="213" t="s">
        <v>140</v>
      </c>
      <c r="B47" s="250">
        <v>1</v>
      </c>
      <c r="C47" t="s">
        <v>141</v>
      </c>
      <c r="D47" t="s">
        <v>1744</v>
      </c>
      <c r="E47" t="s">
        <v>1740</v>
      </c>
    </row>
    <row r="48" spans="1:6" outlineLevel="2">
      <c r="A48" s="213" t="s">
        <v>142</v>
      </c>
      <c r="B48" s="250">
        <v>1</v>
      </c>
      <c r="C48" t="s">
        <v>141</v>
      </c>
      <c r="D48" t="s">
        <v>1745</v>
      </c>
      <c r="E48" t="s">
        <v>1740</v>
      </c>
    </row>
    <row r="49" spans="1:7" outlineLevel="2">
      <c r="A49" s="213" t="s">
        <v>143</v>
      </c>
      <c r="B49" s="250">
        <v>1</v>
      </c>
      <c r="C49" t="s">
        <v>141</v>
      </c>
      <c r="D49" t="s">
        <v>143</v>
      </c>
      <c r="E49" t="s">
        <v>1740</v>
      </c>
    </row>
    <row r="50" spans="1:7" outlineLevel="1">
      <c r="B50" s="89"/>
    </row>
    <row r="51" spans="1:7" s="10" customFormat="1" outlineLevel="1">
      <c r="A51" s="242" t="s">
        <v>163</v>
      </c>
      <c r="B51" s="9"/>
      <c r="C51" s="9"/>
    </row>
    <row r="52" spans="1:7" outlineLevel="2">
      <c r="A52" s="213" t="s">
        <v>133</v>
      </c>
      <c r="B52" s="252">
        <v>100</v>
      </c>
      <c r="C52" t="s">
        <v>134</v>
      </c>
      <c r="D52" t="s">
        <v>42</v>
      </c>
      <c r="E52" t="s">
        <v>135</v>
      </c>
      <c r="G52" t="s">
        <v>164</v>
      </c>
    </row>
    <row r="53" spans="1:7" outlineLevel="2">
      <c r="A53" s="213" t="s">
        <v>165</v>
      </c>
      <c r="B53" s="253">
        <f>50%*$B$30</f>
        <v>19024.30837423095</v>
      </c>
      <c r="C53" t="s">
        <v>76</v>
      </c>
      <c r="D53" t="s">
        <v>49</v>
      </c>
      <c r="E53" t="s">
        <v>1742</v>
      </c>
      <c r="G53" t="s">
        <v>166</v>
      </c>
    </row>
    <row r="54" spans="1:7" outlineLevel="2"/>
    <row r="55" spans="1:7" outlineLevel="2">
      <c r="A55" s="243" t="s">
        <v>167</v>
      </c>
      <c r="B55" s="88"/>
    </row>
    <row r="56" spans="1:7" outlineLevel="2">
      <c r="A56" s="213" t="s">
        <v>140</v>
      </c>
      <c r="B56" s="250">
        <v>1</v>
      </c>
      <c r="C56" t="s">
        <v>141</v>
      </c>
      <c r="D56" t="s">
        <v>1744</v>
      </c>
      <c r="E56" t="s">
        <v>1740</v>
      </c>
    </row>
    <row r="57" spans="1:7" outlineLevel="2">
      <c r="A57" s="213" t="s">
        <v>142</v>
      </c>
      <c r="B57" s="250">
        <v>1</v>
      </c>
      <c r="C57" t="s">
        <v>141</v>
      </c>
      <c r="D57" t="s">
        <v>1745</v>
      </c>
      <c r="E57" t="s">
        <v>1740</v>
      </c>
    </row>
    <row r="58" spans="1:7" outlineLevel="2">
      <c r="A58" s="213" t="s">
        <v>143</v>
      </c>
      <c r="B58" s="250">
        <v>1</v>
      </c>
      <c r="C58" t="s">
        <v>141</v>
      </c>
      <c r="D58" t="s">
        <v>143</v>
      </c>
      <c r="E58" t="s">
        <v>1740</v>
      </c>
    </row>
    <row r="59" spans="1:7" outlineLevel="1">
      <c r="B59" s="89"/>
    </row>
    <row r="60" spans="1:7" s="10" customFormat="1" outlineLevel="1">
      <c r="A60" s="242" t="s">
        <v>6</v>
      </c>
      <c r="B60" s="9"/>
      <c r="C60" s="9"/>
    </row>
    <row r="61" spans="1:7" outlineLevel="2">
      <c r="A61" s="213" t="s">
        <v>168</v>
      </c>
      <c r="B61" s="248">
        <v>100</v>
      </c>
      <c r="C61" t="s">
        <v>169</v>
      </c>
      <c r="D61" t="s">
        <v>42</v>
      </c>
      <c r="E61" t="s">
        <v>135</v>
      </c>
    </row>
    <row r="62" spans="1:7" outlineLevel="2">
      <c r="A62" s="213" t="s">
        <v>170</v>
      </c>
      <c r="B62" s="248">
        <v>2500</v>
      </c>
      <c r="C62" t="s">
        <v>71</v>
      </c>
      <c r="D62" t="s">
        <v>49</v>
      </c>
      <c r="E62" t="s">
        <v>1741</v>
      </c>
      <c r="F62" t="s">
        <v>171</v>
      </c>
    </row>
    <row r="63" spans="1:7" outlineLevel="2">
      <c r="B63" s="89"/>
    </row>
    <row r="64" spans="1:7" outlineLevel="2">
      <c r="A64" s="243" t="s">
        <v>172</v>
      </c>
      <c r="B64" s="88"/>
    </row>
    <row r="65" spans="1:5" outlineLevel="2">
      <c r="A65" s="213" t="s">
        <v>140</v>
      </c>
      <c r="B65" s="250">
        <v>1</v>
      </c>
      <c r="C65" t="s">
        <v>141</v>
      </c>
      <c r="D65" t="s">
        <v>1744</v>
      </c>
      <c r="E65" t="s">
        <v>1740</v>
      </c>
    </row>
    <row r="66" spans="1:5" outlineLevel="2">
      <c r="A66" s="213" t="s">
        <v>142</v>
      </c>
      <c r="B66" s="250">
        <v>1</v>
      </c>
      <c r="C66" t="s">
        <v>141</v>
      </c>
      <c r="D66" t="s">
        <v>1745</v>
      </c>
      <c r="E66" t="s">
        <v>1740</v>
      </c>
    </row>
    <row r="67" spans="1:5" outlineLevel="2">
      <c r="A67" s="213" t="s">
        <v>143</v>
      </c>
      <c r="B67" s="250">
        <v>1</v>
      </c>
      <c r="C67" t="s">
        <v>141</v>
      </c>
      <c r="D67" t="s">
        <v>143</v>
      </c>
      <c r="E67" t="s">
        <v>1740</v>
      </c>
    </row>
    <row r="68" spans="1:5" outlineLevel="1"/>
    <row r="69" spans="1:5" s="10" customFormat="1" outlineLevel="1">
      <c r="A69" s="242" t="s">
        <v>73</v>
      </c>
      <c r="B69" s="9"/>
      <c r="C69" s="9"/>
    </row>
    <row r="70" spans="1:5" outlineLevel="2">
      <c r="A70" s="213" t="s">
        <v>1</v>
      </c>
      <c r="B70" s="254">
        <v>100000</v>
      </c>
      <c r="C70" t="s">
        <v>173</v>
      </c>
      <c r="D70" t="s">
        <v>42</v>
      </c>
      <c r="E70" t="s">
        <v>135</v>
      </c>
    </row>
    <row r="71" spans="1:5" outlineLevel="2">
      <c r="A71" s="213" t="s">
        <v>1882</v>
      </c>
      <c r="B71" s="254">
        <v>20000</v>
      </c>
      <c r="C71" t="s">
        <v>1659</v>
      </c>
      <c r="D71" t="s">
        <v>42</v>
      </c>
      <c r="E71" t="s">
        <v>135</v>
      </c>
    </row>
    <row r="72" spans="1:5" outlineLevel="2">
      <c r="A72" s="213" t="s">
        <v>1846</v>
      </c>
      <c r="B72" s="254">
        <v>8000</v>
      </c>
      <c r="C72" t="s">
        <v>1659</v>
      </c>
      <c r="D72" t="s">
        <v>42</v>
      </c>
      <c r="E72" t="s">
        <v>135</v>
      </c>
    </row>
    <row r="73" spans="1:5" outlineLevel="2">
      <c r="A73" s="213" t="s">
        <v>1873</v>
      </c>
      <c r="B73" s="254">
        <v>9000</v>
      </c>
      <c r="C73" t="s">
        <v>1659</v>
      </c>
      <c r="D73" t="s">
        <v>42</v>
      </c>
      <c r="E73" t="s">
        <v>135</v>
      </c>
    </row>
    <row r="74" spans="1:5" outlineLevel="2">
      <c r="A74" s="213" t="s">
        <v>1874</v>
      </c>
      <c r="B74" s="254">
        <v>10000</v>
      </c>
      <c r="C74" t="s">
        <v>1659</v>
      </c>
      <c r="D74" t="s">
        <v>42</v>
      </c>
      <c r="E74" t="s">
        <v>135</v>
      </c>
    </row>
    <row r="75" spans="1:5" outlineLevel="2">
      <c r="A75" s="213" t="s">
        <v>1845</v>
      </c>
      <c r="B75" s="254">
        <v>5000</v>
      </c>
      <c r="C75" t="s">
        <v>1659</v>
      </c>
      <c r="D75" t="s">
        <v>42</v>
      </c>
      <c r="E75" t="s">
        <v>135</v>
      </c>
    </row>
    <row r="76" spans="1:5" outlineLevel="2">
      <c r="A76" s="213" t="s">
        <v>1909</v>
      </c>
      <c r="B76" s="254">
        <v>50000</v>
      </c>
      <c r="C76" t="s">
        <v>1659</v>
      </c>
      <c r="D76" t="s">
        <v>42</v>
      </c>
      <c r="E76" t="s">
        <v>135</v>
      </c>
    </row>
    <row r="77" spans="1:5" outlineLevel="2">
      <c r="A77" s="213" t="s">
        <v>1910</v>
      </c>
      <c r="B77" s="254">
        <v>10000</v>
      </c>
      <c r="C77" t="s">
        <v>1646</v>
      </c>
      <c r="D77" t="s">
        <v>42</v>
      </c>
      <c r="E77" t="s">
        <v>135</v>
      </c>
    </row>
    <row r="78" spans="1:5" outlineLevel="2">
      <c r="A78" s="213" t="s">
        <v>1911</v>
      </c>
      <c r="B78" s="254">
        <v>40000</v>
      </c>
      <c r="C78" t="s">
        <v>1905</v>
      </c>
      <c r="D78" t="s">
        <v>42</v>
      </c>
      <c r="E78" t="s">
        <v>135</v>
      </c>
    </row>
    <row r="79" spans="1:5" outlineLevel="2">
      <c r="B79" s="213"/>
    </row>
    <row r="80" spans="1:5" outlineLevel="2">
      <c r="A80" s="243" t="s">
        <v>1863</v>
      </c>
      <c r="B80" s="213"/>
    </row>
    <row r="81" spans="1:7" outlineLevel="2">
      <c r="A81" s="213" t="s">
        <v>1879</v>
      </c>
      <c r="B81" s="250">
        <v>0.01</v>
      </c>
      <c r="C81" t="s">
        <v>141</v>
      </c>
      <c r="D81" t="s">
        <v>42</v>
      </c>
      <c r="E81" t="s">
        <v>1741</v>
      </c>
      <c r="F81" t="s">
        <v>1864</v>
      </c>
    </row>
    <row r="82" spans="1:7" outlineLevel="2">
      <c r="A82" s="213" t="s">
        <v>1880</v>
      </c>
      <c r="B82" s="250">
        <v>0.01</v>
      </c>
      <c r="C82" t="s">
        <v>141</v>
      </c>
      <c r="D82" t="s">
        <v>42</v>
      </c>
      <c r="E82" t="s">
        <v>1740</v>
      </c>
    </row>
    <row r="83" spans="1:7" outlineLevel="2">
      <c r="A83" s="213" t="s">
        <v>1881</v>
      </c>
      <c r="B83" s="250">
        <v>0.1</v>
      </c>
      <c r="C83" t="s">
        <v>141</v>
      </c>
      <c r="D83" t="s">
        <v>42</v>
      </c>
      <c r="E83" t="s">
        <v>1740</v>
      </c>
    </row>
    <row r="84" spans="1:7" outlineLevel="2">
      <c r="A84" s="213" t="s">
        <v>1868</v>
      </c>
      <c r="B84" s="260">
        <f>62/142</f>
        <v>0.43661971830985913</v>
      </c>
      <c r="C84" t="s">
        <v>1872</v>
      </c>
      <c r="D84" t="s">
        <v>42</v>
      </c>
      <c r="E84" t="s">
        <v>1741</v>
      </c>
      <c r="F84" t="s">
        <v>1865</v>
      </c>
    </row>
    <row r="85" spans="1:7" outlineLevel="2">
      <c r="A85" s="213" t="s">
        <v>1869</v>
      </c>
      <c r="B85" s="260">
        <f>46/14</f>
        <v>3.2857142857142856</v>
      </c>
      <c r="C85" t="s">
        <v>1871</v>
      </c>
      <c r="D85" t="s">
        <v>42</v>
      </c>
      <c r="E85" t="s">
        <v>1741</v>
      </c>
    </row>
    <row r="86" spans="1:7" outlineLevel="2">
      <c r="A86" s="213" t="s">
        <v>1867</v>
      </c>
      <c r="B86" s="260">
        <v>298</v>
      </c>
      <c r="C86" t="s">
        <v>1870</v>
      </c>
      <c r="D86" t="s">
        <v>49</v>
      </c>
      <c r="E86" t="s">
        <v>1741</v>
      </c>
      <c r="F86" t="s">
        <v>1866</v>
      </c>
    </row>
    <row r="87" spans="1:7" outlineLevel="2">
      <c r="A87" s="213" t="s">
        <v>1876</v>
      </c>
      <c r="B87" s="263">
        <f>B81*B85*B86</f>
        <v>9.7914285714285718</v>
      </c>
      <c r="C87" t="s">
        <v>1875</v>
      </c>
      <c r="D87" t="s">
        <v>49</v>
      </c>
      <c r="E87" t="s">
        <v>1740</v>
      </c>
    </row>
    <row r="88" spans="1:7" outlineLevel="2">
      <c r="A88" s="213" t="s">
        <v>1877</v>
      </c>
      <c r="B88" s="263">
        <f>$B$82*$B$84</f>
        <v>4.3661971830985915E-3</v>
      </c>
      <c r="C88" t="s">
        <v>1878</v>
      </c>
      <c r="D88" t="s">
        <v>49</v>
      </c>
      <c r="E88" t="s">
        <v>1740</v>
      </c>
    </row>
    <row r="89" spans="1:7" outlineLevel="2">
      <c r="B89" s="213"/>
    </row>
    <row r="90" spans="1:7" outlineLevel="2">
      <c r="A90" s="243" t="s">
        <v>1908</v>
      </c>
      <c r="B90" s="213"/>
    </row>
    <row r="91" spans="1:7" outlineLevel="2">
      <c r="A91" s="213" t="s">
        <v>1879</v>
      </c>
      <c r="B91" s="254"/>
      <c r="D91" t="s">
        <v>42</v>
      </c>
      <c r="E91" t="s">
        <v>135</v>
      </c>
    </row>
    <row r="92" spans="1:7" outlineLevel="2">
      <c r="A92" s="213" t="s">
        <v>1880</v>
      </c>
      <c r="B92" s="254"/>
      <c r="D92" t="s">
        <v>42</v>
      </c>
      <c r="E92" t="s">
        <v>135</v>
      </c>
    </row>
    <row r="93" spans="1:7" outlineLevel="2">
      <c r="A93" s="213" t="s">
        <v>1881</v>
      </c>
      <c r="B93" s="254"/>
      <c r="D93" t="s">
        <v>42</v>
      </c>
      <c r="E93" t="s">
        <v>135</v>
      </c>
    </row>
    <row r="94" spans="1:7" outlineLevel="2">
      <c r="A94" s="213" t="s">
        <v>1879</v>
      </c>
      <c r="B94" s="254"/>
      <c r="D94" t="s">
        <v>49</v>
      </c>
      <c r="E94" t="s">
        <v>1741</v>
      </c>
      <c r="F94" t="s">
        <v>1866</v>
      </c>
      <c r="G94" t="s">
        <v>262</v>
      </c>
    </row>
    <row r="95" spans="1:7" outlineLevel="2">
      <c r="A95" s="213" t="s">
        <v>1880</v>
      </c>
      <c r="B95" s="254"/>
      <c r="D95" t="s">
        <v>49</v>
      </c>
      <c r="E95" t="s">
        <v>1741</v>
      </c>
      <c r="F95" t="s">
        <v>1866</v>
      </c>
      <c r="G95" t="s">
        <v>262</v>
      </c>
    </row>
    <row r="96" spans="1:7" outlineLevel="2">
      <c r="A96" s="213" t="s">
        <v>1881</v>
      </c>
      <c r="B96" s="254"/>
      <c r="D96" t="s">
        <v>49</v>
      </c>
      <c r="E96" t="s">
        <v>1741</v>
      </c>
      <c r="F96" t="s">
        <v>1866</v>
      </c>
      <c r="G96" t="s">
        <v>262</v>
      </c>
    </row>
    <row r="97" spans="1:5" outlineLevel="2">
      <c r="A97" s="243"/>
      <c r="B97" s="213"/>
    </row>
    <row r="98" spans="1:5" outlineLevel="2">
      <c r="A98" s="243" t="s">
        <v>176</v>
      </c>
      <c r="B98" s="88"/>
    </row>
    <row r="99" spans="1:5" outlineLevel="2">
      <c r="A99" s="213" t="s">
        <v>140</v>
      </c>
      <c r="B99" s="250">
        <v>1</v>
      </c>
      <c r="C99" t="s">
        <v>141</v>
      </c>
      <c r="D99" t="s">
        <v>1744</v>
      </c>
      <c r="E99" t="s">
        <v>1740</v>
      </c>
    </row>
    <row r="100" spans="1:5" outlineLevel="2">
      <c r="A100" s="213" t="s">
        <v>142</v>
      </c>
      <c r="B100" s="250">
        <v>1</v>
      </c>
      <c r="C100" t="s">
        <v>141</v>
      </c>
      <c r="D100" t="s">
        <v>1745</v>
      </c>
      <c r="E100" t="s">
        <v>1740</v>
      </c>
    </row>
    <row r="101" spans="1:5" outlineLevel="2">
      <c r="A101" s="213" t="s">
        <v>143</v>
      </c>
      <c r="B101" s="250">
        <v>1</v>
      </c>
      <c r="C101" t="s">
        <v>141</v>
      </c>
      <c r="D101" t="s">
        <v>143</v>
      </c>
      <c r="E101" t="s">
        <v>1740</v>
      </c>
    </row>
    <row r="102" spans="1:5" outlineLevel="1"/>
    <row r="103" spans="1:5" s="10" customFormat="1" outlineLevel="1">
      <c r="A103" s="242" t="s">
        <v>1843</v>
      </c>
      <c r="B103" s="9"/>
      <c r="C103" s="9"/>
    </row>
    <row r="104" spans="1:5" outlineLevel="2">
      <c r="A104" s="213" t="s">
        <v>174</v>
      </c>
      <c r="B104" s="254">
        <v>10000000</v>
      </c>
      <c r="C104" t="s">
        <v>175</v>
      </c>
      <c r="D104" t="s">
        <v>42</v>
      </c>
      <c r="E104" t="s">
        <v>135</v>
      </c>
    </row>
    <row r="105" spans="1:5" outlineLevel="2">
      <c r="B105" s="213"/>
    </row>
    <row r="106" spans="1:5" outlineLevel="2">
      <c r="A106" s="243" t="s">
        <v>1844</v>
      </c>
      <c r="B106" s="88"/>
    </row>
    <row r="107" spans="1:5" outlineLevel="2">
      <c r="A107" s="213" t="s">
        <v>140</v>
      </c>
      <c r="B107" s="250">
        <v>1</v>
      </c>
      <c r="C107" t="s">
        <v>141</v>
      </c>
      <c r="D107" t="s">
        <v>1744</v>
      </c>
      <c r="E107" t="s">
        <v>1740</v>
      </c>
    </row>
    <row r="108" spans="1:5" outlineLevel="2">
      <c r="A108" s="213" t="s">
        <v>142</v>
      </c>
      <c r="B108" s="250">
        <v>1</v>
      </c>
      <c r="C108" t="s">
        <v>141</v>
      </c>
      <c r="D108" t="s">
        <v>1745</v>
      </c>
      <c r="E108" t="s">
        <v>1740</v>
      </c>
    </row>
    <row r="109" spans="1:5" outlineLevel="2">
      <c r="A109" s="213" t="s">
        <v>143</v>
      </c>
      <c r="B109" s="250">
        <v>1</v>
      </c>
      <c r="C109" t="s">
        <v>141</v>
      </c>
      <c r="D109" t="s">
        <v>143</v>
      </c>
      <c r="E109" t="s">
        <v>1740</v>
      </c>
    </row>
    <row r="110" spans="1:5" outlineLevel="1">
      <c r="A110"/>
    </row>
    <row r="111" spans="1:5">
      <c r="A111"/>
    </row>
    <row r="112" spans="1:5" s="245" customFormat="1" ht="15">
      <c r="A112" s="244" t="s">
        <v>1803</v>
      </c>
      <c r="B112" s="244"/>
      <c r="C112" s="244"/>
    </row>
    <row r="113" spans="1:5" outlineLevel="1">
      <c r="A113"/>
    </row>
    <row r="114" spans="1:5" s="10" customFormat="1" outlineLevel="1">
      <c r="A114" s="242" t="s">
        <v>1804</v>
      </c>
      <c r="B114" s="9"/>
      <c r="C114" s="9"/>
    </row>
    <row r="115" spans="1:5" outlineLevel="2">
      <c r="A115" s="243" t="s">
        <v>1814</v>
      </c>
    </row>
    <row r="116" spans="1:5" outlineLevel="2">
      <c r="A116" s="213" t="s">
        <v>1813</v>
      </c>
      <c r="B116" s="254">
        <v>200000000</v>
      </c>
      <c r="C116" t="s">
        <v>175</v>
      </c>
      <c r="D116" t="s">
        <v>1743</v>
      </c>
      <c r="E116" t="s">
        <v>135</v>
      </c>
    </row>
    <row r="117" spans="1:5" outlineLevel="2">
      <c r="A117" s="213" t="s">
        <v>1842</v>
      </c>
      <c r="B117" s="254">
        <v>150000000</v>
      </c>
      <c r="C117" t="s">
        <v>175</v>
      </c>
      <c r="D117" t="s">
        <v>1743</v>
      </c>
      <c r="E117" t="s">
        <v>135</v>
      </c>
    </row>
    <row r="118" spans="1:5" outlineLevel="2"/>
    <row r="119" spans="1:5" outlineLevel="2">
      <c r="A119" s="243" t="s">
        <v>1815</v>
      </c>
    </row>
    <row r="120" spans="1:5" outlineLevel="2">
      <c r="A120" s="213" t="s">
        <v>1805</v>
      </c>
      <c r="B120" s="254">
        <v>50000000</v>
      </c>
      <c r="C120" t="s">
        <v>175</v>
      </c>
      <c r="D120" t="s">
        <v>1743</v>
      </c>
      <c r="E120" t="s">
        <v>135</v>
      </c>
    </row>
    <row r="121" spans="1:5" outlineLevel="2">
      <c r="A121" s="213" t="s">
        <v>1806</v>
      </c>
      <c r="B121" s="254">
        <v>40000000</v>
      </c>
      <c r="C121" t="s">
        <v>175</v>
      </c>
      <c r="D121" t="s">
        <v>1743</v>
      </c>
      <c r="E121" t="s">
        <v>135</v>
      </c>
    </row>
    <row r="122" spans="1:5" outlineLevel="1">
      <c r="B122" s="196"/>
    </row>
    <row r="123" spans="1:5" s="10" customFormat="1" outlineLevel="1">
      <c r="A123" s="242" t="s">
        <v>1838</v>
      </c>
      <c r="B123" s="9"/>
      <c r="C123" s="9"/>
    </row>
    <row r="124" spans="1:5" outlineLevel="2">
      <c r="A124" s="213" t="s">
        <v>1839</v>
      </c>
      <c r="B124" s="254">
        <v>100000000</v>
      </c>
      <c r="C124" t="s">
        <v>1841</v>
      </c>
      <c r="D124" t="s">
        <v>1743</v>
      </c>
      <c r="E124" t="s">
        <v>135</v>
      </c>
    </row>
    <row r="125" spans="1:5" outlineLevel="2">
      <c r="A125" s="213" t="s">
        <v>1840</v>
      </c>
      <c r="B125" s="254">
        <v>10000000</v>
      </c>
      <c r="C125" t="s">
        <v>1659</v>
      </c>
      <c r="D125" t="s">
        <v>1743</v>
      </c>
      <c r="E125" t="s">
        <v>135</v>
      </c>
    </row>
    <row r="126" spans="1:5" outlineLevel="2">
      <c r="A126" s="213" t="s">
        <v>1896</v>
      </c>
      <c r="B126" s="254">
        <v>330</v>
      </c>
      <c r="C126" t="s">
        <v>1892</v>
      </c>
      <c r="D126" t="s">
        <v>1743</v>
      </c>
      <c r="E126" t="s">
        <v>135</v>
      </c>
    </row>
    <row r="127" spans="1:5" outlineLevel="2">
      <c r="A127" s="213" t="s">
        <v>1920</v>
      </c>
      <c r="B127" s="254">
        <v>30</v>
      </c>
      <c r="C127" t="s">
        <v>1919</v>
      </c>
      <c r="D127" t="s">
        <v>1743</v>
      </c>
      <c r="E127" t="s">
        <v>135</v>
      </c>
    </row>
    <row r="128" spans="1:5" outlineLevel="2">
      <c r="B128" s="213"/>
    </row>
    <row r="129" spans="1:5" outlineLevel="2">
      <c r="A129" s="243" t="s">
        <v>1897</v>
      </c>
      <c r="B129" s="213"/>
    </row>
    <row r="130" spans="1:5" outlineLevel="2">
      <c r="A130" s="213" t="s">
        <v>1888</v>
      </c>
      <c r="B130" s="262">
        <f>B120/B124</f>
        <v>0.5</v>
      </c>
      <c r="C130" t="s">
        <v>1887</v>
      </c>
      <c r="D130" t="s">
        <v>1743</v>
      </c>
      <c r="E130" t="s">
        <v>135</v>
      </c>
    </row>
    <row r="131" spans="1:5" outlineLevel="2">
      <c r="A131" s="213" t="s">
        <v>1889</v>
      </c>
      <c r="B131" s="262">
        <f>B120/B125</f>
        <v>5</v>
      </c>
      <c r="C131" t="s">
        <v>1818</v>
      </c>
      <c r="D131" t="s">
        <v>1743</v>
      </c>
      <c r="E131" t="s">
        <v>135</v>
      </c>
    </row>
    <row r="132" spans="1:5" outlineLevel="2">
      <c r="A132" s="213" t="s">
        <v>1890</v>
      </c>
      <c r="B132" s="262">
        <f>B121/B124</f>
        <v>0.4</v>
      </c>
      <c r="C132" t="s">
        <v>1887</v>
      </c>
      <c r="D132" t="s">
        <v>1743</v>
      </c>
      <c r="E132" t="s">
        <v>135</v>
      </c>
    </row>
    <row r="133" spans="1:5" outlineLevel="2">
      <c r="A133" s="213" t="s">
        <v>1891</v>
      </c>
      <c r="B133" s="262">
        <f>B121/B125</f>
        <v>4</v>
      </c>
      <c r="C133" t="s">
        <v>1818</v>
      </c>
      <c r="D133" t="s">
        <v>1743</v>
      </c>
      <c r="E133" t="s">
        <v>135</v>
      </c>
    </row>
    <row r="134" spans="1:5" outlineLevel="2">
      <c r="A134" s="213" t="s">
        <v>1893</v>
      </c>
      <c r="B134" s="262">
        <f>B120/B126</f>
        <v>151515.15151515152</v>
      </c>
      <c r="C134" t="s">
        <v>1895</v>
      </c>
      <c r="D134" t="s">
        <v>1743</v>
      </c>
      <c r="E134" t="s">
        <v>135</v>
      </c>
    </row>
    <row r="135" spans="1:5" outlineLevel="2">
      <c r="A135" s="213" t="s">
        <v>1894</v>
      </c>
      <c r="B135" s="262">
        <f>B121/B126</f>
        <v>121212.12121212122</v>
      </c>
      <c r="C135" t="s">
        <v>1895</v>
      </c>
      <c r="D135" t="s">
        <v>1743</v>
      </c>
      <c r="E135" t="s">
        <v>135</v>
      </c>
    </row>
    <row r="136" spans="1:5" outlineLevel="1">
      <c r="B136" s="196"/>
    </row>
    <row r="137" spans="1:5" s="10" customFormat="1" outlineLevel="1">
      <c r="A137" s="242" t="s">
        <v>1836</v>
      </c>
      <c r="B137" s="9"/>
      <c r="C137" s="9"/>
    </row>
    <row r="138" spans="1:5" outlineLevel="2">
      <c r="A138" s="247" t="s">
        <v>1899</v>
      </c>
      <c r="B138" s="196"/>
    </row>
    <row r="139" spans="1:5" outlineLevel="2">
      <c r="A139" s="246" t="s">
        <v>1807</v>
      </c>
      <c r="B139" s="255">
        <v>2.5</v>
      </c>
      <c r="C139" t="s">
        <v>312</v>
      </c>
      <c r="D139" t="s">
        <v>49</v>
      </c>
      <c r="E139" t="s">
        <v>135</v>
      </c>
    </row>
    <row r="140" spans="1:5" outlineLevel="2">
      <c r="A140" s="246" t="s">
        <v>1808</v>
      </c>
      <c r="B140" s="255">
        <v>3</v>
      </c>
      <c r="C140" t="s">
        <v>1826</v>
      </c>
      <c r="D140" t="s">
        <v>49</v>
      </c>
      <c r="E140" t="s">
        <v>135</v>
      </c>
    </row>
    <row r="141" spans="1:5" outlineLevel="2">
      <c r="A141" s="246" t="s">
        <v>1809</v>
      </c>
      <c r="B141" s="255">
        <v>5</v>
      </c>
      <c r="C141" t="s">
        <v>1819</v>
      </c>
      <c r="D141" t="s">
        <v>49</v>
      </c>
      <c r="E141" t="s">
        <v>135</v>
      </c>
    </row>
    <row r="142" spans="1:5" outlineLevel="2">
      <c r="A142" s="246" t="s">
        <v>1810</v>
      </c>
      <c r="B142" s="255">
        <v>4</v>
      </c>
      <c r="C142" t="s">
        <v>1818</v>
      </c>
      <c r="D142" t="s">
        <v>49</v>
      </c>
      <c r="E142" t="s">
        <v>135</v>
      </c>
    </row>
    <row r="143" spans="1:5" outlineLevel="2">
      <c r="A143" s="246" t="s">
        <v>1811</v>
      </c>
      <c r="B143" s="255">
        <v>1.5</v>
      </c>
      <c r="C143" t="s">
        <v>1820</v>
      </c>
      <c r="D143" t="s">
        <v>49</v>
      </c>
      <c r="E143" t="s">
        <v>135</v>
      </c>
    </row>
    <row r="144" spans="1:5" outlineLevel="2">
      <c r="A144" s="246" t="s">
        <v>1812</v>
      </c>
      <c r="B144" s="255">
        <v>2</v>
      </c>
      <c r="C144" t="s">
        <v>1821</v>
      </c>
      <c r="D144" t="s">
        <v>49</v>
      </c>
      <c r="E144" t="s">
        <v>135</v>
      </c>
    </row>
    <row r="145" spans="1:5" outlineLevel="2">
      <c r="A145" s="246" t="s">
        <v>1823</v>
      </c>
      <c r="B145" s="255">
        <v>2</v>
      </c>
      <c r="C145" t="s">
        <v>1822</v>
      </c>
      <c r="D145" t="s">
        <v>49</v>
      </c>
      <c r="E145" t="s">
        <v>135</v>
      </c>
    </row>
    <row r="146" spans="1:5" outlineLevel="2">
      <c r="A146" s="246" t="s">
        <v>1816</v>
      </c>
      <c r="B146" s="255">
        <v>1</v>
      </c>
      <c r="C146" t="s">
        <v>1824</v>
      </c>
      <c r="D146" t="s">
        <v>49</v>
      </c>
      <c r="E146" t="s">
        <v>135</v>
      </c>
    </row>
    <row r="147" spans="1:5" outlineLevel="2">
      <c r="A147" s="246" t="s">
        <v>1817</v>
      </c>
      <c r="B147" s="255">
        <v>0.5</v>
      </c>
      <c r="C147" t="s">
        <v>1825</v>
      </c>
      <c r="D147" t="s">
        <v>49</v>
      </c>
      <c r="E147" t="s">
        <v>135</v>
      </c>
    </row>
    <row r="148" spans="1:5" outlineLevel="2">
      <c r="A148" s="246" t="s">
        <v>1913</v>
      </c>
      <c r="B148" s="255">
        <v>1</v>
      </c>
      <c r="C148" t="s">
        <v>1915</v>
      </c>
      <c r="D148" t="s">
        <v>49</v>
      </c>
      <c r="E148" t="s">
        <v>135</v>
      </c>
    </row>
    <row r="149" spans="1:5" outlineLevel="2">
      <c r="A149" s="246" t="s">
        <v>1916</v>
      </c>
      <c r="B149" s="255">
        <v>5000</v>
      </c>
      <c r="C149" t="s">
        <v>1918</v>
      </c>
      <c r="D149" t="s">
        <v>49</v>
      </c>
      <c r="E149" t="s">
        <v>135</v>
      </c>
    </row>
    <row r="150" spans="1:5" outlineLevel="2">
      <c r="A150" s="246"/>
      <c r="B150" s="196"/>
    </row>
    <row r="151" spans="1:5" outlineLevel="2">
      <c r="A151" s="247" t="s">
        <v>1912</v>
      </c>
      <c r="B151" s="6"/>
      <c r="C151" s="6"/>
    </row>
    <row r="152" spans="1:5" outlineLevel="2">
      <c r="A152" s="246" t="s">
        <v>1827</v>
      </c>
      <c r="B152" s="250">
        <v>0.7</v>
      </c>
      <c r="C152" t="s">
        <v>141</v>
      </c>
      <c r="D152" t="s">
        <v>49</v>
      </c>
      <c r="E152" t="s">
        <v>1742</v>
      </c>
    </row>
    <row r="153" spans="1:5" outlineLevel="2">
      <c r="A153" s="246" t="s">
        <v>1828</v>
      </c>
      <c r="B153" s="250">
        <v>0.4</v>
      </c>
      <c r="C153" t="s">
        <v>141</v>
      </c>
      <c r="D153" t="s">
        <v>49</v>
      </c>
      <c r="E153" t="s">
        <v>1742</v>
      </c>
    </row>
    <row r="154" spans="1:5" outlineLevel="2">
      <c r="A154" s="246" t="s">
        <v>1829</v>
      </c>
      <c r="B154" s="250">
        <v>0.6</v>
      </c>
      <c r="C154" t="s">
        <v>141</v>
      </c>
      <c r="D154" t="s">
        <v>49</v>
      </c>
      <c r="E154" t="s">
        <v>1742</v>
      </c>
    </row>
    <row r="155" spans="1:5" outlineLevel="2">
      <c r="A155" s="246" t="s">
        <v>1830</v>
      </c>
      <c r="B155" s="250">
        <v>0.1</v>
      </c>
      <c r="C155" t="s">
        <v>141</v>
      </c>
      <c r="D155" t="s">
        <v>49</v>
      </c>
      <c r="E155" t="s">
        <v>1742</v>
      </c>
    </row>
    <row r="156" spans="1:5" outlineLevel="2">
      <c r="A156" s="246" t="s">
        <v>1831</v>
      </c>
      <c r="B156" s="250">
        <v>0.7</v>
      </c>
      <c r="C156" t="s">
        <v>141</v>
      </c>
      <c r="D156" t="s">
        <v>49</v>
      </c>
      <c r="E156" t="s">
        <v>1742</v>
      </c>
    </row>
    <row r="157" spans="1:5" outlineLevel="2">
      <c r="A157" s="246" t="s">
        <v>1832</v>
      </c>
      <c r="B157" s="250">
        <v>0.05</v>
      </c>
      <c r="C157" t="s">
        <v>141</v>
      </c>
      <c r="D157" t="s">
        <v>49</v>
      </c>
      <c r="E157" t="s">
        <v>1742</v>
      </c>
    </row>
    <row r="158" spans="1:5" outlineLevel="2">
      <c r="A158" s="246" t="s">
        <v>1833</v>
      </c>
      <c r="B158" s="250">
        <v>0.7</v>
      </c>
      <c r="C158" t="s">
        <v>141</v>
      </c>
      <c r="D158" t="s">
        <v>49</v>
      </c>
      <c r="E158" t="s">
        <v>1742</v>
      </c>
    </row>
    <row r="159" spans="1:5" outlineLevel="2">
      <c r="A159" s="246" t="s">
        <v>1834</v>
      </c>
      <c r="B159" s="250">
        <v>0.6</v>
      </c>
      <c r="C159" t="s">
        <v>141</v>
      </c>
      <c r="D159" t="s">
        <v>49</v>
      </c>
      <c r="E159" t="s">
        <v>1742</v>
      </c>
    </row>
    <row r="160" spans="1:5" outlineLevel="2">
      <c r="A160" s="246" t="s">
        <v>1835</v>
      </c>
      <c r="B160" s="250">
        <v>0.1</v>
      </c>
      <c r="C160" t="s">
        <v>141</v>
      </c>
      <c r="D160" t="s">
        <v>49</v>
      </c>
      <c r="E160" t="s">
        <v>1742</v>
      </c>
    </row>
    <row r="161" spans="1:5" outlineLevel="2">
      <c r="A161" s="246" t="s">
        <v>1914</v>
      </c>
      <c r="B161" s="250">
        <v>1</v>
      </c>
      <c r="C161" t="s">
        <v>141</v>
      </c>
      <c r="D161" t="s">
        <v>49</v>
      </c>
      <c r="E161" t="s">
        <v>1742</v>
      </c>
    </row>
    <row r="162" spans="1:5" outlineLevel="2">
      <c r="A162" s="246" t="s">
        <v>1917</v>
      </c>
      <c r="B162" s="250">
        <v>0.5</v>
      </c>
      <c r="C162" t="s">
        <v>141</v>
      </c>
      <c r="D162" t="s">
        <v>49</v>
      </c>
      <c r="E162" t="s">
        <v>1742</v>
      </c>
    </row>
    <row r="163" spans="1:5" outlineLevel="2">
      <c r="A163" s="246"/>
      <c r="B163" s="246"/>
    </row>
    <row r="164" spans="1:5" outlineLevel="2">
      <c r="A164" s="247" t="s">
        <v>1898</v>
      </c>
      <c r="B164" s="246"/>
    </row>
    <row r="165" spans="1:5" outlineLevel="2">
      <c r="A165" s="246" t="s">
        <v>1827</v>
      </c>
      <c r="B165" s="262">
        <f t="shared" ref="B165:B175" si="0">B152*B139</f>
        <v>1.75</v>
      </c>
      <c r="C165" t="s">
        <v>312</v>
      </c>
      <c r="D165" t="s">
        <v>49</v>
      </c>
      <c r="E165" t="s">
        <v>1742</v>
      </c>
    </row>
    <row r="166" spans="1:5" outlineLevel="2">
      <c r="A166" s="246" t="s">
        <v>1828</v>
      </c>
      <c r="B166" s="262">
        <f t="shared" si="0"/>
        <v>1.2000000000000002</v>
      </c>
      <c r="C166" t="s">
        <v>1826</v>
      </c>
      <c r="D166" t="s">
        <v>49</v>
      </c>
      <c r="E166" t="s">
        <v>1742</v>
      </c>
    </row>
    <row r="167" spans="1:5" outlineLevel="2">
      <c r="A167" s="246" t="s">
        <v>1829</v>
      </c>
      <c r="B167" s="262">
        <f t="shared" si="0"/>
        <v>3</v>
      </c>
      <c r="C167" t="s">
        <v>1819</v>
      </c>
      <c r="D167" t="s">
        <v>49</v>
      </c>
      <c r="E167" t="s">
        <v>1742</v>
      </c>
    </row>
    <row r="168" spans="1:5" outlineLevel="2">
      <c r="A168" s="246" t="s">
        <v>1830</v>
      </c>
      <c r="B168" s="262">
        <f t="shared" si="0"/>
        <v>0.4</v>
      </c>
      <c r="C168" t="s">
        <v>1818</v>
      </c>
      <c r="D168" t="s">
        <v>49</v>
      </c>
      <c r="E168" t="s">
        <v>1742</v>
      </c>
    </row>
    <row r="169" spans="1:5" outlineLevel="2">
      <c r="A169" s="246" t="s">
        <v>1831</v>
      </c>
      <c r="B169" s="262">
        <f t="shared" si="0"/>
        <v>1.0499999999999998</v>
      </c>
      <c r="C169" t="s">
        <v>1820</v>
      </c>
      <c r="D169" t="s">
        <v>49</v>
      </c>
      <c r="E169" t="s">
        <v>1742</v>
      </c>
    </row>
    <row r="170" spans="1:5" outlineLevel="2">
      <c r="A170" s="246" t="s">
        <v>1832</v>
      </c>
      <c r="B170" s="262">
        <f t="shared" si="0"/>
        <v>0.1</v>
      </c>
      <c r="C170" t="s">
        <v>1821</v>
      </c>
      <c r="D170" t="s">
        <v>49</v>
      </c>
      <c r="E170" t="s">
        <v>1742</v>
      </c>
    </row>
    <row r="171" spans="1:5" outlineLevel="2">
      <c r="A171" s="246" t="s">
        <v>1833</v>
      </c>
      <c r="B171" s="262">
        <f t="shared" si="0"/>
        <v>1.4</v>
      </c>
      <c r="C171" t="s">
        <v>1822</v>
      </c>
      <c r="D171" t="s">
        <v>49</v>
      </c>
      <c r="E171" t="s">
        <v>1742</v>
      </c>
    </row>
    <row r="172" spans="1:5" outlineLevel="2">
      <c r="A172" s="246" t="s">
        <v>1834</v>
      </c>
      <c r="B172" s="262">
        <f t="shared" si="0"/>
        <v>0.6</v>
      </c>
      <c r="C172" t="s">
        <v>1824</v>
      </c>
      <c r="D172" t="s">
        <v>49</v>
      </c>
      <c r="E172" t="s">
        <v>1742</v>
      </c>
    </row>
    <row r="173" spans="1:5" outlineLevel="2">
      <c r="A173" s="246" t="s">
        <v>1835</v>
      </c>
      <c r="B173" s="262">
        <f t="shared" si="0"/>
        <v>0.05</v>
      </c>
      <c r="C173" t="s">
        <v>1825</v>
      </c>
      <c r="D173" t="s">
        <v>49</v>
      </c>
      <c r="E173" t="s">
        <v>1742</v>
      </c>
    </row>
    <row r="174" spans="1:5" outlineLevel="2">
      <c r="A174" s="246" t="s">
        <v>1914</v>
      </c>
      <c r="B174" s="262">
        <f t="shared" si="0"/>
        <v>1</v>
      </c>
      <c r="C174" t="s">
        <v>1915</v>
      </c>
      <c r="D174" t="s">
        <v>49</v>
      </c>
      <c r="E174" t="s">
        <v>1742</v>
      </c>
    </row>
    <row r="175" spans="1:5" outlineLevel="2">
      <c r="A175" s="246" t="s">
        <v>1917</v>
      </c>
      <c r="B175" s="262">
        <f t="shared" si="0"/>
        <v>2500</v>
      </c>
      <c r="C175" t="s">
        <v>1918</v>
      </c>
      <c r="D175" t="s">
        <v>49</v>
      </c>
      <c r="E175" t="s">
        <v>1742</v>
      </c>
    </row>
    <row r="176" spans="1:5" outlineLevel="2">
      <c r="A176" s="246"/>
      <c r="B176" s="262"/>
    </row>
    <row r="177" spans="1:5" outlineLevel="2">
      <c r="A177" s="247" t="s">
        <v>1900</v>
      </c>
      <c r="B177" s="262"/>
    </row>
    <row r="178" spans="1:5" outlineLevel="2">
      <c r="A178" s="246" t="s">
        <v>1796</v>
      </c>
      <c r="B178" s="250">
        <v>0.7</v>
      </c>
      <c r="C178" t="s">
        <v>1903</v>
      </c>
      <c r="D178" t="s">
        <v>42</v>
      </c>
      <c r="E178" t="s">
        <v>1742</v>
      </c>
    </row>
    <row r="179" spans="1:5" outlineLevel="2">
      <c r="A179" s="246" t="s">
        <v>1797</v>
      </c>
      <c r="B179" s="250">
        <v>0.4</v>
      </c>
      <c r="C179" t="s">
        <v>1903</v>
      </c>
      <c r="D179" t="s">
        <v>42</v>
      </c>
      <c r="E179" t="s">
        <v>1742</v>
      </c>
    </row>
    <row r="180" spans="1:5" outlineLevel="2">
      <c r="A180" s="246" t="s">
        <v>1800</v>
      </c>
      <c r="B180" s="250">
        <v>0.6</v>
      </c>
      <c r="C180" t="s">
        <v>1903</v>
      </c>
      <c r="D180" t="s">
        <v>42</v>
      </c>
      <c r="E180" t="s">
        <v>1742</v>
      </c>
    </row>
    <row r="181" spans="1:5" outlineLevel="2">
      <c r="A181" s="246" t="s">
        <v>1801</v>
      </c>
      <c r="B181" s="250">
        <v>0.1</v>
      </c>
      <c r="C181" t="s">
        <v>1903</v>
      </c>
      <c r="D181" t="s">
        <v>42</v>
      </c>
      <c r="E181" t="s">
        <v>1742</v>
      </c>
    </row>
    <row r="182" spans="1:5" outlineLevel="2">
      <c r="A182" s="246" t="s">
        <v>1799</v>
      </c>
      <c r="B182" s="250">
        <v>0.7</v>
      </c>
      <c r="C182" t="s">
        <v>1903</v>
      </c>
      <c r="D182" t="s">
        <v>42</v>
      </c>
      <c r="E182" t="s">
        <v>1742</v>
      </c>
    </row>
    <row r="183" spans="1:5" outlineLevel="2">
      <c r="A183" s="246" t="s">
        <v>1904</v>
      </c>
      <c r="B183" s="250">
        <v>0.5</v>
      </c>
      <c r="C183" t="s">
        <v>1903</v>
      </c>
      <c r="D183" t="s">
        <v>42</v>
      </c>
      <c r="E183" t="s">
        <v>1742</v>
      </c>
    </row>
    <row r="184" spans="1:5" outlineLevel="2">
      <c r="A184" s="246" t="s">
        <v>1798</v>
      </c>
      <c r="B184" s="250">
        <v>0.8</v>
      </c>
      <c r="C184" t="s">
        <v>1903</v>
      </c>
      <c r="D184" t="s">
        <v>42</v>
      </c>
      <c r="E184" t="s">
        <v>1742</v>
      </c>
    </row>
    <row r="185" spans="1:5" outlineLevel="2">
      <c r="A185" s="246"/>
      <c r="B185" s="262"/>
    </row>
    <row r="186" spans="1:5" outlineLevel="2">
      <c r="A186" s="247" t="s">
        <v>1902</v>
      </c>
      <c r="B186" s="264"/>
    </row>
    <row r="187" spans="1:5" outlineLevel="2">
      <c r="A187" s="246" t="s">
        <v>1796</v>
      </c>
      <c r="B187" s="196">
        <f>B178*$B$124</f>
        <v>70000000</v>
      </c>
      <c r="C187" t="s">
        <v>1841</v>
      </c>
      <c r="D187" t="s">
        <v>49</v>
      </c>
      <c r="E187" t="s">
        <v>1742</v>
      </c>
    </row>
    <row r="188" spans="1:5" outlineLevel="2">
      <c r="A188" s="246" t="s">
        <v>1797</v>
      </c>
      <c r="B188" s="196">
        <f t="shared" ref="B188:B193" si="1">B179*$B$124</f>
        <v>40000000</v>
      </c>
      <c r="C188" t="s">
        <v>1841</v>
      </c>
      <c r="D188" t="s">
        <v>49</v>
      </c>
      <c r="E188" t="s">
        <v>1742</v>
      </c>
    </row>
    <row r="189" spans="1:5" outlineLevel="2">
      <c r="A189" s="246" t="s">
        <v>1800</v>
      </c>
      <c r="B189" s="196">
        <f t="shared" si="1"/>
        <v>60000000</v>
      </c>
      <c r="C189" t="s">
        <v>1841</v>
      </c>
      <c r="D189" t="s">
        <v>49</v>
      </c>
      <c r="E189" t="s">
        <v>1742</v>
      </c>
    </row>
    <row r="190" spans="1:5" outlineLevel="2">
      <c r="A190" s="246" t="s">
        <v>1801</v>
      </c>
      <c r="B190" s="196">
        <f t="shared" si="1"/>
        <v>10000000</v>
      </c>
      <c r="C190" t="s">
        <v>1841</v>
      </c>
      <c r="D190" t="s">
        <v>49</v>
      </c>
      <c r="E190" t="s">
        <v>1742</v>
      </c>
    </row>
    <row r="191" spans="1:5" outlineLevel="2">
      <c r="A191" s="246" t="s">
        <v>1799</v>
      </c>
      <c r="B191" s="196">
        <f t="shared" si="1"/>
        <v>70000000</v>
      </c>
      <c r="C191" t="s">
        <v>1841</v>
      </c>
      <c r="D191" t="s">
        <v>49</v>
      </c>
      <c r="E191" t="s">
        <v>1742</v>
      </c>
    </row>
    <row r="192" spans="1:5" outlineLevel="2">
      <c r="A192" s="246" t="s">
        <v>1904</v>
      </c>
      <c r="B192" s="196">
        <f t="shared" si="1"/>
        <v>50000000</v>
      </c>
      <c r="C192" t="s">
        <v>1841</v>
      </c>
      <c r="D192" t="s">
        <v>49</v>
      </c>
      <c r="E192" t="s">
        <v>1742</v>
      </c>
    </row>
    <row r="193" spans="1:7" outlineLevel="2">
      <c r="A193" s="246" t="s">
        <v>1798</v>
      </c>
      <c r="B193" s="196">
        <f t="shared" si="1"/>
        <v>80000000</v>
      </c>
      <c r="C193" t="s">
        <v>1841</v>
      </c>
      <c r="D193" t="s">
        <v>49</v>
      </c>
      <c r="E193" t="s">
        <v>1742</v>
      </c>
    </row>
    <row r="194" spans="1:7" outlineLevel="2">
      <c r="A194" s="246"/>
      <c r="B194" s="262"/>
    </row>
    <row r="195" spans="1:7" outlineLevel="2">
      <c r="A195" s="247" t="s">
        <v>1901</v>
      </c>
      <c r="B195" s="264"/>
    </row>
    <row r="196" spans="1:7" outlineLevel="2">
      <c r="A196" s="246" t="s">
        <v>1796</v>
      </c>
      <c r="B196" s="265">
        <v>0.05</v>
      </c>
      <c r="C196" t="s">
        <v>1887</v>
      </c>
      <c r="D196" t="s">
        <v>49</v>
      </c>
      <c r="E196" t="s">
        <v>1742</v>
      </c>
    </row>
    <row r="197" spans="1:7" outlineLevel="2">
      <c r="A197" s="246" t="s">
        <v>1797</v>
      </c>
      <c r="B197" s="265">
        <v>0.06</v>
      </c>
      <c r="C197" t="s">
        <v>1887</v>
      </c>
      <c r="D197" t="s">
        <v>49</v>
      </c>
      <c r="E197" t="s">
        <v>1742</v>
      </c>
    </row>
    <row r="198" spans="1:7" outlineLevel="2">
      <c r="A198" s="246" t="s">
        <v>1800</v>
      </c>
      <c r="B198" s="265">
        <v>0.1</v>
      </c>
      <c r="C198" t="s">
        <v>1887</v>
      </c>
      <c r="D198" t="s">
        <v>49</v>
      </c>
      <c r="E198" t="s">
        <v>1742</v>
      </c>
    </row>
    <row r="199" spans="1:7" outlineLevel="2">
      <c r="A199" s="246" t="s">
        <v>1801</v>
      </c>
      <c r="B199" s="265">
        <v>0.08</v>
      </c>
      <c r="C199" t="s">
        <v>1887</v>
      </c>
      <c r="D199" t="s">
        <v>49</v>
      </c>
      <c r="E199" t="s">
        <v>1742</v>
      </c>
    </row>
    <row r="200" spans="1:7" outlineLevel="2">
      <c r="A200" s="246" t="s">
        <v>1799</v>
      </c>
      <c r="B200" s="265">
        <v>0.08</v>
      </c>
      <c r="C200" t="s">
        <v>1887</v>
      </c>
      <c r="D200" t="s">
        <v>49</v>
      </c>
      <c r="E200" t="s">
        <v>1742</v>
      </c>
    </row>
    <row r="201" spans="1:7" outlineLevel="2">
      <c r="A201" s="246" t="s">
        <v>1904</v>
      </c>
      <c r="B201" s="265">
        <v>7.0000000000000007E-2</v>
      </c>
      <c r="C201" t="s">
        <v>1887</v>
      </c>
      <c r="D201" t="s">
        <v>49</v>
      </c>
      <c r="E201" t="s">
        <v>1742</v>
      </c>
    </row>
    <row r="202" spans="1:7" outlineLevel="2">
      <c r="A202" s="246" t="s">
        <v>1798</v>
      </c>
      <c r="B202" s="265">
        <v>0.04</v>
      </c>
      <c r="C202" t="s">
        <v>1887</v>
      </c>
      <c r="D202" t="s">
        <v>49</v>
      </c>
      <c r="E202" t="s">
        <v>1742</v>
      </c>
    </row>
    <row r="203" spans="1:7" outlineLevel="2">
      <c r="A203" s="246"/>
      <c r="B203" s="262"/>
    </row>
    <row r="204" spans="1:7" outlineLevel="2">
      <c r="A204" s="247" t="s">
        <v>1921</v>
      </c>
      <c r="B204" s="262"/>
    </row>
    <row r="205" spans="1:7" outlineLevel="2">
      <c r="A205" s="246" t="s">
        <v>1922</v>
      </c>
      <c r="B205" s="254">
        <v>10</v>
      </c>
      <c r="C205" t="s">
        <v>104</v>
      </c>
      <c r="D205" t="s">
        <v>49</v>
      </c>
      <c r="E205" t="s">
        <v>1742</v>
      </c>
    </row>
    <row r="206" spans="1:7" outlineLevel="2">
      <c r="A206" s="246" t="s">
        <v>1923</v>
      </c>
      <c r="B206" s="254">
        <v>5</v>
      </c>
      <c r="C206" t="s">
        <v>104</v>
      </c>
      <c r="D206" t="s">
        <v>49</v>
      </c>
      <c r="E206" t="s">
        <v>1742</v>
      </c>
    </row>
    <row r="207" spans="1:7" outlineLevel="2">
      <c r="A207" s="246"/>
      <c r="B207" s="262"/>
    </row>
    <row r="208" spans="1:7" ht="18" outlineLevel="2">
      <c r="A208" s="325" t="s">
        <v>82</v>
      </c>
      <c r="B208" s="326"/>
      <c r="C208" s="327"/>
      <c r="D208" s="327"/>
      <c r="E208" s="327"/>
      <c r="F208" s="327"/>
      <c r="G208" s="327"/>
    </row>
    <row r="209" spans="1:7" outlineLevel="2">
      <c r="A209" s="328"/>
      <c r="B209" s="262"/>
    </row>
    <row r="210" spans="1:7" outlineLevel="2">
      <c r="A210" s="329" t="s">
        <v>2416</v>
      </c>
      <c r="B210" s="330"/>
      <c r="C210" s="331"/>
      <c r="D210" s="331"/>
      <c r="E210" s="331"/>
      <c r="F210" s="331"/>
      <c r="G210" s="331"/>
    </row>
    <row r="211" spans="1:7" outlineLevel="2">
      <c r="A211" s="332" t="s">
        <v>2417</v>
      </c>
      <c r="B211" s="333"/>
      <c r="C211" s="334" t="s">
        <v>0</v>
      </c>
      <c r="D211" s="334" t="s">
        <v>1743</v>
      </c>
      <c r="E211" s="334" t="s">
        <v>135</v>
      </c>
      <c r="F211" s="334"/>
      <c r="G211" s="334"/>
    </row>
    <row r="212" spans="1:7" outlineLevel="1">
      <c r="A212" s="335" t="s">
        <v>2418</v>
      </c>
      <c r="B212" s="336"/>
      <c r="C212" s="334" t="s">
        <v>0</v>
      </c>
      <c r="D212" s="334" t="s">
        <v>1743</v>
      </c>
      <c r="E212" s="334" t="s">
        <v>135</v>
      </c>
      <c r="F212" s="334"/>
      <c r="G212" s="334"/>
    </row>
    <row r="213" spans="1:7">
      <c r="A213" s="335" t="s">
        <v>88</v>
      </c>
      <c r="B213" s="336">
        <v>2024</v>
      </c>
      <c r="C213" s="334" t="s">
        <v>0</v>
      </c>
      <c r="D213" s="334" t="s">
        <v>1743</v>
      </c>
      <c r="E213" s="334" t="s">
        <v>135</v>
      </c>
      <c r="F213" s="334"/>
      <c r="G213" s="334"/>
    </row>
    <row r="214" spans="1:7">
      <c r="A214" s="335" t="s">
        <v>2419</v>
      </c>
      <c r="B214" s="336" t="s">
        <v>175</v>
      </c>
      <c r="C214" s="334" t="s">
        <v>0</v>
      </c>
      <c r="D214" s="334" t="s">
        <v>1743</v>
      </c>
      <c r="E214" s="334" t="s">
        <v>135</v>
      </c>
      <c r="F214" s="334"/>
      <c r="G214" s="334"/>
    </row>
    <row r="215" spans="1:7">
      <c r="A215" s="337"/>
    </row>
    <row r="216" spans="1:7">
      <c r="A216" s="338" t="s">
        <v>2420</v>
      </c>
      <c r="B216" s="331"/>
      <c r="C216" s="331"/>
      <c r="D216" s="331"/>
      <c r="E216" s="331"/>
      <c r="F216" s="331"/>
      <c r="G216" s="331"/>
    </row>
    <row r="217" spans="1:7">
      <c r="A217" s="335" t="s">
        <v>2421</v>
      </c>
      <c r="B217" s="339">
        <v>0.05</v>
      </c>
      <c r="C217" s="334" t="s">
        <v>141</v>
      </c>
      <c r="D217" s="334" t="s">
        <v>1743</v>
      </c>
      <c r="E217" s="334" t="s">
        <v>1740</v>
      </c>
      <c r="F217" s="334"/>
      <c r="G217" s="334"/>
    </row>
    <row r="218" spans="1:7">
      <c r="A218" s="335" t="s">
        <v>2422</v>
      </c>
      <c r="B218" s="340">
        <v>10</v>
      </c>
      <c r="C218" s="334" t="s">
        <v>108</v>
      </c>
      <c r="D218" s="334" t="s">
        <v>1743</v>
      </c>
      <c r="E218" s="334" t="s">
        <v>1740</v>
      </c>
      <c r="F218" s="334"/>
      <c r="G218" s="334"/>
    </row>
    <row r="219" spans="1:7">
      <c r="A219" s="335" t="s">
        <v>2423</v>
      </c>
      <c r="B219" s="341">
        <v>59446</v>
      </c>
      <c r="C219" s="334" t="s">
        <v>2424</v>
      </c>
      <c r="D219" s="334" t="s">
        <v>53</v>
      </c>
      <c r="E219" s="334" t="s">
        <v>1741</v>
      </c>
      <c r="F219" s="334" t="s">
        <v>2425</v>
      </c>
      <c r="G219" s="334"/>
    </row>
    <row r="220" spans="1:7">
      <c r="A220" s="337"/>
    </row>
    <row r="221" spans="1:7">
      <c r="A221" s="337"/>
    </row>
    <row r="222" spans="1:7">
      <c r="A222" s="343" t="s">
        <v>2426</v>
      </c>
      <c r="B222" s="344" t="s">
        <v>2427</v>
      </c>
      <c r="C222" s="344" t="s">
        <v>2428</v>
      </c>
      <c r="D222" s="344" t="s">
        <v>2429</v>
      </c>
      <c r="E222" s="344" t="s">
        <v>2430</v>
      </c>
      <c r="F222" s="344" t="s">
        <v>2431</v>
      </c>
      <c r="G222" s="327"/>
    </row>
    <row r="223" spans="1:7">
      <c r="A223" s="342" t="s">
        <v>2432</v>
      </c>
      <c r="B223" s="327"/>
      <c r="C223" s="327"/>
      <c r="D223" s="327"/>
      <c r="E223" s="327"/>
      <c r="F223" s="327"/>
      <c r="G223" s="327"/>
    </row>
    <row r="224" spans="1:7">
      <c r="A224" s="335" t="s">
        <v>2433</v>
      </c>
      <c r="B224" s="334" t="s">
        <v>2434</v>
      </c>
      <c r="C224" s="345">
        <v>0.64119999999999999</v>
      </c>
      <c r="D224" s="346">
        <v>38.472000000000001</v>
      </c>
      <c r="E224" s="345">
        <v>0.72330000000000005</v>
      </c>
      <c r="F224" s="346">
        <v>43.398000000000003</v>
      </c>
    </row>
    <row r="225" spans="1:7">
      <c r="A225" s="335" t="s">
        <v>2433</v>
      </c>
      <c r="B225" s="334" t="s">
        <v>2435</v>
      </c>
      <c r="C225" s="345">
        <v>0.20699999999999999</v>
      </c>
      <c r="D225" s="346">
        <v>12.42</v>
      </c>
      <c r="E225" s="334"/>
      <c r="F225" s="334"/>
    </row>
    <row r="226" spans="1:7">
      <c r="A226" s="335" t="s">
        <v>2433</v>
      </c>
      <c r="B226" s="334" t="s">
        <v>2436</v>
      </c>
      <c r="C226" s="334"/>
      <c r="D226" s="334"/>
      <c r="E226" s="345">
        <v>0.18329999999999999</v>
      </c>
      <c r="F226" s="346">
        <v>10.997999999999999</v>
      </c>
    </row>
    <row r="227" spans="1:7">
      <c r="A227" s="335" t="s">
        <v>2433</v>
      </c>
      <c r="B227" s="334" t="s">
        <v>2437</v>
      </c>
      <c r="C227" s="345">
        <v>4.0500000000000001E-2</v>
      </c>
      <c r="D227" s="346">
        <v>2.4300000000000002</v>
      </c>
      <c r="E227" s="334"/>
      <c r="F227" s="334"/>
    </row>
    <row r="228" spans="1:7">
      <c r="A228" s="335" t="s">
        <v>2433</v>
      </c>
      <c r="B228" s="334" t="s">
        <v>2438</v>
      </c>
      <c r="C228" s="345">
        <v>9.9000000000000008E-3</v>
      </c>
      <c r="D228" s="346">
        <v>0.59399999999999997</v>
      </c>
      <c r="E228" s="345">
        <v>1.01E-2</v>
      </c>
      <c r="F228" s="346">
        <v>0.60599999999999998</v>
      </c>
    </row>
    <row r="229" spans="1:7">
      <c r="A229" s="335" t="s">
        <v>2433</v>
      </c>
      <c r="B229" s="334" t="s">
        <v>2439</v>
      </c>
      <c r="C229" s="345">
        <v>1.4E-3</v>
      </c>
      <c r="D229" s="346">
        <v>8.4000000000000005E-2</v>
      </c>
      <c r="E229" s="334"/>
      <c r="F229" s="334"/>
    </row>
    <row r="230" spans="1:7">
      <c r="A230" s="347" t="s">
        <v>2440</v>
      </c>
      <c r="B230" s="348"/>
      <c r="C230" s="349">
        <f>SUM(C224:C229)</f>
        <v>0.89999999999999991</v>
      </c>
      <c r="D230" s="350">
        <f>SUM(D224:D229)</f>
        <v>54.000000000000007</v>
      </c>
      <c r="E230" s="349">
        <f>SUM(E224:E229)</f>
        <v>0.91670000000000007</v>
      </c>
      <c r="F230" s="350">
        <f>SUM(F224:F229)</f>
        <v>55.002000000000002</v>
      </c>
      <c r="G230" s="331"/>
    </row>
    <row r="231" spans="1:7">
      <c r="A231" s="342" t="s">
        <v>2441</v>
      </c>
      <c r="B231" s="327"/>
      <c r="C231" s="327"/>
      <c r="D231" s="327"/>
      <c r="E231" s="327"/>
      <c r="F231" s="327"/>
      <c r="G231" s="327"/>
    </row>
    <row r="232" spans="1:7">
      <c r="A232" s="335" t="s">
        <v>2442</v>
      </c>
      <c r="B232" s="334" t="s">
        <v>2443</v>
      </c>
      <c r="C232" s="345">
        <v>2.63E-2</v>
      </c>
      <c r="D232" s="346">
        <v>1.5780000000000001</v>
      </c>
      <c r="E232" s="334"/>
      <c r="F232" s="334"/>
    </row>
    <row r="233" spans="1:7">
      <c r="A233" s="335" t="s">
        <v>2442</v>
      </c>
      <c r="B233" s="334" t="s">
        <v>2444</v>
      </c>
      <c r="C233" s="334"/>
      <c r="D233" s="334"/>
      <c r="E233" s="345">
        <v>2.9100000000000001E-2</v>
      </c>
      <c r="F233" s="346">
        <v>1.746</v>
      </c>
    </row>
    <row r="234" spans="1:7">
      <c r="A234" s="335" t="s">
        <v>2442</v>
      </c>
      <c r="B234" s="334" t="s">
        <v>2445</v>
      </c>
      <c r="C234" s="345">
        <v>2.4209999999999999E-2</v>
      </c>
      <c r="D234" s="346">
        <v>1.4525999999999999</v>
      </c>
      <c r="E234" s="334"/>
      <c r="F234" s="334"/>
    </row>
    <row r="235" spans="1:7">
      <c r="A235" s="335" t="s">
        <v>2442</v>
      </c>
      <c r="B235" s="334" t="s">
        <v>2446</v>
      </c>
      <c r="C235" s="345">
        <v>2.3800000000000002E-2</v>
      </c>
      <c r="D235" s="346">
        <v>1.4279999999999999</v>
      </c>
      <c r="E235" s="345">
        <v>2.383E-2</v>
      </c>
      <c r="F235" s="346">
        <v>1.4298</v>
      </c>
    </row>
    <row r="236" spans="1:7">
      <c r="A236" s="335" t="s">
        <v>2442</v>
      </c>
      <c r="B236" s="334" t="s">
        <v>2447</v>
      </c>
      <c r="C236" s="345">
        <v>1.41E-3</v>
      </c>
      <c r="D236" s="346">
        <v>8.4599999999999995E-2</v>
      </c>
      <c r="E236" s="345">
        <v>8.2699999999999996E-3</v>
      </c>
      <c r="F236" s="346">
        <v>0.49619999999999997</v>
      </c>
    </row>
    <row r="237" spans="1:7">
      <c r="A237" s="335" t="s">
        <v>2442</v>
      </c>
      <c r="B237" s="334" t="s">
        <v>2448</v>
      </c>
      <c r="C237" s="334"/>
      <c r="D237" s="334"/>
      <c r="E237" s="345">
        <v>6.8799999999999998E-3</v>
      </c>
      <c r="F237" s="346">
        <v>0.4128</v>
      </c>
    </row>
    <row r="238" spans="1:7">
      <c r="A238" s="335" t="s">
        <v>2442</v>
      </c>
      <c r="B238" s="334" t="s">
        <v>2449</v>
      </c>
      <c r="C238" s="345">
        <v>7.0400000000000003E-3</v>
      </c>
      <c r="D238" s="346">
        <v>0.4224</v>
      </c>
      <c r="E238" s="345">
        <v>6.45E-3</v>
      </c>
      <c r="F238" s="346">
        <v>0.38700000000000001</v>
      </c>
    </row>
    <row r="239" spans="1:7">
      <c r="A239" s="335" t="s">
        <v>2442</v>
      </c>
      <c r="B239" s="334" t="s">
        <v>2450</v>
      </c>
      <c r="C239" s="345">
        <v>7.0400000000000003E-3</v>
      </c>
      <c r="D239" s="346">
        <v>0.4224</v>
      </c>
      <c r="E239" s="334"/>
      <c r="F239" s="334"/>
    </row>
    <row r="240" spans="1:7">
      <c r="A240" s="335" t="s">
        <v>2442</v>
      </c>
      <c r="B240" s="334" t="s">
        <v>2451</v>
      </c>
      <c r="C240" s="345">
        <v>1.06E-3</v>
      </c>
      <c r="D240" s="346">
        <v>6.3600000000000004E-2</v>
      </c>
      <c r="E240" s="345">
        <v>1.98E-3</v>
      </c>
      <c r="F240" s="346">
        <v>0.1188</v>
      </c>
    </row>
    <row r="241" spans="1:7">
      <c r="A241" s="335" t="s">
        <v>2442</v>
      </c>
      <c r="B241" s="334" t="s">
        <v>2452</v>
      </c>
      <c r="C241" s="345">
        <v>1.6900000000000001E-3</v>
      </c>
      <c r="D241" s="346">
        <v>0.1014</v>
      </c>
      <c r="E241" s="345">
        <v>1.48E-3</v>
      </c>
      <c r="F241" s="346">
        <v>8.8800000000000004E-2</v>
      </c>
    </row>
    <row r="242" spans="1:7">
      <c r="A242" s="335" t="s">
        <v>2442</v>
      </c>
      <c r="B242" s="334" t="s">
        <v>2453</v>
      </c>
      <c r="C242" s="345">
        <v>2.5500000000000002E-3</v>
      </c>
      <c r="D242" s="346">
        <v>0.153</v>
      </c>
      <c r="E242" s="334"/>
      <c r="F242" s="334"/>
    </row>
    <row r="243" spans="1:7">
      <c r="A243" s="335" t="s">
        <v>2442</v>
      </c>
      <c r="B243" s="334" t="s">
        <v>2454</v>
      </c>
      <c r="C243" s="345">
        <v>1.06E-3</v>
      </c>
      <c r="D243" s="346">
        <v>6.3600000000000004E-2</v>
      </c>
      <c r="E243" s="334"/>
      <c r="F243" s="334"/>
    </row>
    <row r="244" spans="1:7">
      <c r="A244" s="335" t="s">
        <v>2442</v>
      </c>
      <c r="B244" s="334" t="s">
        <v>2455</v>
      </c>
      <c r="C244" s="345">
        <v>6.9999999999999999E-4</v>
      </c>
      <c r="D244" s="346">
        <v>4.2000000000000003E-2</v>
      </c>
      <c r="E244" s="334"/>
      <c r="F244" s="334"/>
    </row>
    <row r="245" spans="1:7">
      <c r="A245" s="335" t="s">
        <v>2442</v>
      </c>
      <c r="B245" s="334" t="s">
        <v>2456</v>
      </c>
      <c r="C245" s="345">
        <v>6.7000000000000002E-4</v>
      </c>
      <c r="D245" s="346">
        <v>4.02E-2</v>
      </c>
      <c r="E245" s="345">
        <v>1.33E-3</v>
      </c>
      <c r="F245" s="346">
        <v>7.9799999999999996E-2</v>
      </c>
    </row>
    <row r="246" spans="1:7">
      <c r="A246" s="335" t="s">
        <v>2442</v>
      </c>
      <c r="B246" s="334" t="s">
        <v>2457</v>
      </c>
      <c r="C246" s="345">
        <v>1.3999999999999999E-4</v>
      </c>
      <c r="D246" s="346">
        <v>8.3999999999999995E-3</v>
      </c>
      <c r="E246" s="345">
        <v>1E-3</v>
      </c>
      <c r="F246" s="346">
        <v>0.06</v>
      </c>
    </row>
    <row r="247" spans="1:7">
      <c r="A247" s="335" t="s">
        <v>2442</v>
      </c>
      <c r="B247" s="334" t="s">
        <v>2458</v>
      </c>
      <c r="C247" s="334"/>
      <c r="D247" s="334"/>
      <c r="E247" s="345">
        <v>1E-3</v>
      </c>
      <c r="F247" s="346">
        <v>0.06</v>
      </c>
    </row>
    <row r="248" spans="1:7">
      <c r="A248" s="335" t="s">
        <v>2442</v>
      </c>
      <c r="B248" s="334" t="s">
        <v>2459</v>
      </c>
      <c r="C248" s="345">
        <v>5.5999999999999995E-4</v>
      </c>
      <c r="D248" s="346">
        <v>3.3599999999999998E-2</v>
      </c>
      <c r="E248" s="345">
        <v>5.0000000000000001E-4</v>
      </c>
      <c r="F248" s="346">
        <v>0.03</v>
      </c>
    </row>
    <row r="249" spans="1:7">
      <c r="A249" s="335" t="s">
        <v>2442</v>
      </c>
      <c r="B249" s="334" t="s">
        <v>2460</v>
      </c>
      <c r="C249" s="345">
        <v>5.5999999999999995E-4</v>
      </c>
      <c r="D249" s="346">
        <v>3.3599999999999998E-2</v>
      </c>
      <c r="E249" s="345">
        <v>5.0000000000000001E-4</v>
      </c>
      <c r="F249" s="346">
        <v>0.03</v>
      </c>
    </row>
    <row r="250" spans="1:7">
      <c r="A250" s="335" t="s">
        <v>2442</v>
      </c>
      <c r="B250" s="334" t="s">
        <v>2461</v>
      </c>
      <c r="C250" s="345">
        <v>5.1000000000000004E-4</v>
      </c>
      <c r="D250" s="346">
        <v>3.0599999999999999E-2</v>
      </c>
      <c r="E250" s="345">
        <v>5.0000000000000001E-4</v>
      </c>
      <c r="F250" s="346">
        <v>0.03</v>
      </c>
    </row>
    <row r="251" spans="1:7">
      <c r="A251" s="335" t="s">
        <v>2442</v>
      </c>
      <c r="B251" s="334" t="s">
        <v>2462</v>
      </c>
      <c r="C251" s="345">
        <v>4.2000000000000002E-4</v>
      </c>
      <c r="D251" s="346">
        <v>2.52E-2</v>
      </c>
      <c r="E251" s="334"/>
      <c r="F251" s="334"/>
    </row>
    <row r="252" spans="1:7">
      <c r="A252" s="335" t="s">
        <v>2442</v>
      </c>
      <c r="B252" s="334" t="s">
        <v>2463</v>
      </c>
      <c r="C252" s="345">
        <v>2.7999999999999998E-4</v>
      </c>
      <c r="D252" s="346">
        <v>1.6799999999999999E-2</v>
      </c>
      <c r="E252" s="334"/>
      <c r="F252" s="334"/>
    </row>
    <row r="253" spans="1:7">
      <c r="A253" s="335" t="s">
        <v>2442</v>
      </c>
      <c r="B253" s="334" t="s">
        <v>2464</v>
      </c>
      <c r="C253" s="334"/>
      <c r="D253" s="334"/>
      <c r="E253" s="345">
        <v>5.0000000000000001E-4</v>
      </c>
      <c r="F253" s="346">
        <v>0.03</v>
      </c>
    </row>
    <row r="254" spans="1:7">
      <c r="A254" s="347" t="s">
        <v>2465</v>
      </c>
      <c r="B254" s="348"/>
      <c r="C254" s="349">
        <f>SUM(C232:C253)</f>
        <v>0.10000000000000003</v>
      </c>
      <c r="D254" s="350">
        <f>SUM(D232:D253)</f>
        <v>5.9999999999999973</v>
      </c>
      <c r="E254" s="349">
        <f>SUM(E232:E253)</f>
        <v>8.3319999999999991E-2</v>
      </c>
      <c r="F254" s="350">
        <f>SUM(F232:F253)</f>
        <v>4.9992000000000001</v>
      </c>
      <c r="G254" s="331"/>
    </row>
    <row r="255" spans="1:7">
      <c r="A255" s="342" t="s">
        <v>2466</v>
      </c>
      <c r="B255" s="351"/>
      <c r="C255" s="352">
        <f>C230+C254</f>
        <v>1</v>
      </c>
      <c r="D255" s="353">
        <f>D230+D254</f>
        <v>60.000000000000007</v>
      </c>
      <c r="E255" s="352">
        <f>E230+E254</f>
        <v>1.0000200000000001</v>
      </c>
      <c r="F255" s="353">
        <f>F230+F254</f>
        <v>60.001200000000004</v>
      </c>
      <c r="G255" s="327"/>
    </row>
  </sheetData>
  <dataValidations count="2">
    <dataValidation type="list" allowBlank="1" showInputMessage="1" showErrorMessage="1" sqref="D2:D1048576" xr:uid="{6025FD37-9D9E-BC44-BA8D-08E908266CCB}">
      <formula1>"Output, Outcome, Baseline, Dropoff, Attribution, Valuation factor, Other"</formula1>
    </dataValidation>
    <dataValidation type="list" allowBlank="1" showInputMessage="1" showErrorMessage="1" sqref="E2:E1048576" xr:uid="{BB74D02F-0D82-5041-B382-56CBA387396F}">
      <formula1>"Primary data, Secondary data, Partial estimate, Full assumption"</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F0FBC"/>
  </sheetPr>
  <dimension ref="A1:I487"/>
  <sheetViews>
    <sheetView showGridLines="0" topLeftCell="A436" zoomScale="113" zoomScaleNormal="175" workbookViewId="0">
      <selection activeCell="B439" sqref="B439"/>
    </sheetView>
  </sheetViews>
  <sheetFormatPr defaultColWidth="10.69921875" defaultRowHeight="15.6" outlineLevelRow="2"/>
  <cols>
    <col min="1" max="1" width="63.296875" customWidth="1"/>
    <col min="2" max="2" width="15" customWidth="1"/>
    <col min="3" max="3" width="25.59765625" customWidth="1"/>
    <col min="4" max="4" width="13.296875" customWidth="1"/>
    <col min="5" max="7" width="41.69921875" customWidth="1"/>
    <col min="8" max="9" width="20.796875" customWidth="1"/>
  </cols>
  <sheetData>
    <row r="1" spans="1:7" s="283" customFormat="1">
      <c r="A1" s="282" t="s">
        <v>82</v>
      </c>
      <c r="B1" s="280"/>
      <c r="C1" s="280"/>
      <c r="D1" s="7"/>
    </row>
    <row r="2" spans="1:7">
      <c r="A2" s="284"/>
      <c r="B2" s="284"/>
      <c r="C2" s="284"/>
    </row>
    <row r="3" spans="1:7">
      <c r="A3" s="285" t="s">
        <v>102</v>
      </c>
      <c r="B3" s="285" t="s">
        <v>83</v>
      </c>
      <c r="C3" s="285" t="s">
        <v>84</v>
      </c>
      <c r="D3" s="281" t="s">
        <v>85</v>
      </c>
      <c r="E3" s="399" t="s">
        <v>212</v>
      </c>
      <c r="F3" s="399" t="s">
        <v>2701</v>
      </c>
      <c r="G3" s="399"/>
    </row>
    <row r="4" spans="1:7">
      <c r="A4" s="5" t="s">
        <v>86</v>
      </c>
      <c r="B4" s="286">
        <f>'Parameters (Generic)'!$B$3</f>
        <v>59446</v>
      </c>
      <c r="C4" s="5" t="s">
        <v>87</v>
      </c>
      <c r="D4" s="158" t="s">
        <v>0</v>
      </c>
      <c r="E4" s="400" t="s">
        <v>2774</v>
      </c>
      <c r="F4" s="400" t="s">
        <v>2776</v>
      </c>
      <c r="G4" s="400"/>
    </row>
    <row r="5" spans="1:7">
      <c r="A5" s="5" t="s">
        <v>88</v>
      </c>
      <c r="B5" s="5">
        <v>2025</v>
      </c>
      <c r="C5" s="5" t="s">
        <v>0</v>
      </c>
      <c r="D5" s="158" t="s">
        <v>0</v>
      </c>
    </row>
    <row r="6" spans="1:7">
      <c r="A6" s="5" t="s">
        <v>89</v>
      </c>
      <c r="B6" s="145">
        <f>AVERAGEIFS('HUT 2023 | VI'!$G$2:$G$154,'HUT 2023 | VI'!$C$2:$C$154,"Country")</f>
        <v>0.75808919730457858</v>
      </c>
      <c r="C6" s="5" t="s">
        <v>81</v>
      </c>
      <c r="D6" s="5" t="s">
        <v>90</v>
      </c>
    </row>
    <row r="7" spans="1:7">
      <c r="A7" s="5" t="s">
        <v>91</v>
      </c>
      <c r="B7" s="145">
        <f>AVERAGE('HUI 2023 | VI'!$H$2:$H$204)</f>
        <v>0.70438061767235882</v>
      </c>
      <c r="C7" s="5" t="s">
        <v>81</v>
      </c>
      <c r="D7" s="5" t="s">
        <v>92</v>
      </c>
    </row>
    <row r="8" spans="1:7">
      <c r="A8" s="5" t="s">
        <v>93</v>
      </c>
      <c r="B8" s="205">
        <v>1.0638297872340425</v>
      </c>
      <c r="C8" s="5" t="s">
        <v>94</v>
      </c>
      <c r="D8" s="5" t="s">
        <v>95</v>
      </c>
      <c r="E8" s="401" t="s">
        <v>2775</v>
      </c>
      <c r="F8" s="421" t="s">
        <v>2777</v>
      </c>
      <c r="G8" s="401"/>
    </row>
    <row r="10" spans="1:7" s="10" customFormat="1" hidden="1">
      <c r="A10" s="287" t="s">
        <v>96</v>
      </c>
      <c r="B10" s="287"/>
      <c r="C10" s="287"/>
    </row>
    <row r="11" spans="1:7" hidden="1" outlineLevel="1"/>
    <row r="12" spans="1:7" hidden="1" outlineLevel="1">
      <c r="A12" s="285" t="s">
        <v>102</v>
      </c>
      <c r="B12" s="285" t="s">
        <v>83</v>
      </c>
      <c r="C12" s="285" t="s">
        <v>84</v>
      </c>
      <c r="D12" s="281" t="s">
        <v>85</v>
      </c>
    </row>
    <row r="13" spans="1:7" hidden="1" outlineLevel="1">
      <c r="A13" s="5" t="s">
        <v>97</v>
      </c>
      <c r="B13" s="156">
        <v>1E-3</v>
      </c>
      <c r="C13" s="5" t="s">
        <v>98</v>
      </c>
      <c r="D13" s="5" t="s">
        <v>0</v>
      </c>
    </row>
    <row r="14" spans="1:7" hidden="1" outlineLevel="1">
      <c r="A14" s="5" t="s">
        <v>99</v>
      </c>
      <c r="B14" s="157">
        <v>1000</v>
      </c>
      <c r="C14" s="5" t="s">
        <v>100</v>
      </c>
      <c r="D14" s="5" t="s">
        <v>0</v>
      </c>
    </row>
    <row r="15" spans="1:7" hidden="1" collapsed="1">
      <c r="A15" s="284"/>
      <c r="B15" s="284"/>
      <c r="C15" s="284"/>
    </row>
    <row r="16" spans="1:7" s="10" customFormat="1" hidden="1">
      <c r="A16" s="287" t="s">
        <v>101</v>
      </c>
      <c r="B16" s="287"/>
      <c r="C16" s="287"/>
    </row>
    <row r="17" spans="1:4" hidden="1" outlineLevel="1">
      <c r="A17" s="284"/>
      <c r="B17" s="284"/>
      <c r="C17" s="284"/>
    </row>
    <row r="18" spans="1:4" hidden="1" outlineLevel="1">
      <c r="A18" s="285" t="s">
        <v>102</v>
      </c>
      <c r="B18" s="285" t="s">
        <v>83</v>
      </c>
      <c r="C18" s="285" t="s">
        <v>84</v>
      </c>
      <c r="D18" s="281" t="s">
        <v>85</v>
      </c>
    </row>
    <row r="19" spans="1:4" hidden="1" outlineLevel="1">
      <c r="A19" s="288" t="s">
        <v>103</v>
      </c>
      <c r="B19" s="289">
        <v>180</v>
      </c>
      <c r="C19" s="288" t="s">
        <v>104</v>
      </c>
      <c r="D19" s="5"/>
    </row>
    <row r="20" spans="1:4" hidden="1" outlineLevel="1">
      <c r="A20" s="288" t="s">
        <v>105</v>
      </c>
      <c r="B20" s="289">
        <v>6</v>
      </c>
      <c r="C20" s="288" t="s">
        <v>106</v>
      </c>
      <c r="D20" s="5"/>
    </row>
    <row r="21" spans="1:4" hidden="1" outlineLevel="1">
      <c r="A21" s="288" t="s">
        <v>107</v>
      </c>
      <c r="B21" s="289">
        <v>20</v>
      </c>
      <c r="C21" s="288" t="s">
        <v>108</v>
      </c>
      <c r="D21" s="5"/>
    </row>
    <row r="22" spans="1:4" hidden="1" outlineLevel="1">
      <c r="A22" s="288" t="s">
        <v>109</v>
      </c>
      <c r="B22" s="288">
        <f>B19*B20</f>
        <v>1080</v>
      </c>
      <c r="C22" s="288" t="s">
        <v>106</v>
      </c>
      <c r="D22" s="5"/>
    </row>
    <row r="23" spans="1:4" hidden="1" outlineLevel="1"/>
    <row r="24" spans="1:4" hidden="1" outlineLevel="1">
      <c r="A24" s="290" t="s">
        <v>110</v>
      </c>
      <c r="B24" s="291" t="s">
        <v>111</v>
      </c>
      <c r="C24" s="291" t="s">
        <v>112</v>
      </c>
      <c r="D24" s="291" t="s">
        <v>113</v>
      </c>
    </row>
    <row r="25" spans="1:4" hidden="1" outlineLevel="1">
      <c r="A25" s="292" t="s">
        <v>114</v>
      </c>
      <c r="B25" s="4">
        <v>0.13600000000000001</v>
      </c>
      <c r="C25" s="4">
        <v>5.2999999999999999E-2</v>
      </c>
      <c r="D25" s="4">
        <v>0.14799999999999999</v>
      </c>
    </row>
    <row r="26" spans="1:4" hidden="1" outlineLevel="1">
      <c r="A26" s="292" t="s">
        <v>115</v>
      </c>
      <c r="B26" s="4">
        <v>0.13900000000000001</v>
      </c>
      <c r="C26" s="4">
        <v>4.7E-2</v>
      </c>
      <c r="D26" s="4">
        <v>0.10299999999999999</v>
      </c>
    </row>
    <row r="27" spans="1:4" hidden="1" outlineLevel="1">
      <c r="A27" s="5" t="s">
        <v>116</v>
      </c>
      <c r="B27" s="4">
        <v>7.8E-2</v>
      </c>
      <c r="C27" s="4">
        <v>5.3999999999999999E-2</v>
      </c>
      <c r="D27" s="4">
        <v>0.159</v>
      </c>
    </row>
    <row r="28" spans="1:4" hidden="1" outlineLevel="1">
      <c r="A28" s="292" t="s">
        <v>117</v>
      </c>
      <c r="B28" s="4">
        <v>0.16</v>
      </c>
      <c r="C28" s="4">
        <v>4.4999999999999998E-2</v>
      </c>
      <c r="D28" s="4">
        <v>0.105</v>
      </c>
    </row>
    <row r="29" spans="1:4" hidden="1" outlineLevel="1">
      <c r="A29" s="5" t="s">
        <v>118</v>
      </c>
      <c r="B29" s="4">
        <v>0.06</v>
      </c>
      <c r="C29" s="4">
        <v>0.05</v>
      </c>
      <c r="D29" s="4">
        <v>0.17299999999999999</v>
      </c>
    </row>
    <row r="30" spans="1:4" hidden="1" outlineLevel="1">
      <c r="A30" s="292" t="s">
        <v>119</v>
      </c>
      <c r="B30" s="4">
        <v>0.14399999999999999</v>
      </c>
      <c r="C30" s="4">
        <v>0.106</v>
      </c>
      <c r="D30" s="4">
        <v>0.21</v>
      </c>
    </row>
    <row r="31" spans="1:4" hidden="1" outlineLevel="1">
      <c r="A31" s="292" t="s">
        <v>120</v>
      </c>
      <c r="B31" s="4">
        <v>4.9000000000000002E-2</v>
      </c>
      <c r="C31" s="4">
        <v>6.6000000000000003E-2</v>
      </c>
      <c r="D31" s="4">
        <v>0.111</v>
      </c>
    </row>
    <row r="32" spans="1:4" hidden="1" outlineLevel="1">
      <c r="A32" s="5" t="s">
        <v>121</v>
      </c>
      <c r="B32" s="4">
        <v>4.9000000000000002E-2</v>
      </c>
      <c r="C32" s="4">
        <v>6.6000000000000003E-2</v>
      </c>
      <c r="D32" s="4">
        <v>0.111</v>
      </c>
    </row>
    <row r="33" spans="1:4" hidden="1" outlineLevel="1">
      <c r="A33" s="5" t="s">
        <v>122</v>
      </c>
      <c r="B33" s="4">
        <v>0.115</v>
      </c>
      <c r="C33" s="4">
        <v>6.8000000000000005E-2</v>
      </c>
      <c r="D33" s="4">
        <v>0.14599999999999999</v>
      </c>
    </row>
    <row r="34" spans="1:4" hidden="1" collapsed="1"/>
    <row r="35" spans="1:4" s="10" customFormat="1" hidden="1">
      <c r="A35" s="287" t="s">
        <v>2043</v>
      </c>
      <c r="B35" s="287"/>
      <c r="C35" s="287"/>
    </row>
    <row r="36" spans="1:4" hidden="1" outlineLevel="1"/>
    <row r="37" spans="1:4" s="10" customFormat="1" hidden="1" outlineLevel="1">
      <c r="A37" s="293" t="s">
        <v>1783</v>
      </c>
      <c r="B37" s="287"/>
      <c r="C37" s="287"/>
    </row>
    <row r="38" spans="1:4" hidden="1" outlineLevel="2"/>
    <row r="39" spans="1:4" hidden="1" outlineLevel="2">
      <c r="A39" s="5" t="s">
        <v>2044</v>
      </c>
      <c r="B39" s="294">
        <v>0.2</v>
      </c>
      <c r="C39" s="5" t="s">
        <v>179</v>
      </c>
      <c r="D39" s="5"/>
    </row>
    <row r="40" spans="1:4" hidden="1" outlineLevel="2">
      <c r="A40" s="5" t="s">
        <v>147</v>
      </c>
      <c r="B40" s="295">
        <v>52</v>
      </c>
      <c r="C40" s="5" t="s">
        <v>2046</v>
      </c>
      <c r="D40" s="5"/>
    </row>
    <row r="41" spans="1:4" hidden="1" outlineLevel="2">
      <c r="A41" s="5" t="s">
        <v>2047</v>
      </c>
      <c r="B41" s="5">
        <f>B39*B40/52</f>
        <v>0.2</v>
      </c>
      <c r="C41" s="5" t="s">
        <v>2045</v>
      </c>
      <c r="D41" s="5"/>
    </row>
    <row r="42" spans="1:4" hidden="1" outlineLevel="1"/>
    <row r="43" spans="1:4" s="10" customFormat="1" hidden="1" outlineLevel="1">
      <c r="A43" s="293" t="s">
        <v>1784</v>
      </c>
      <c r="B43" s="287"/>
      <c r="C43" s="287"/>
    </row>
    <row r="44" spans="1:4" hidden="1" outlineLevel="2"/>
    <row r="45" spans="1:4" hidden="1" outlineLevel="2">
      <c r="A45" s="5" t="s">
        <v>2044</v>
      </c>
      <c r="B45" s="308">
        <v>5.0999999999999997E-2</v>
      </c>
      <c r="C45" s="5" t="s">
        <v>179</v>
      </c>
      <c r="D45" s="5" t="s">
        <v>2099</v>
      </c>
    </row>
    <row r="46" spans="1:4" hidden="1" outlineLevel="2">
      <c r="A46" s="5" t="s">
        <v>147</v>
      </c>
      <c r="B46" s="295">
        <v>2</v>
      </c>
      <c r="C46" s="5" t="s">
        <v>2046</v>
      </c>
      <c r="D46" s="5" t="s">
        <v>2098</v>
      </c>
    </row>
    <row r="47" spans="1:4" hidden="1" outlineLevel="2">
      <c r="A47" s="5" t="s">
        <v>2047</v>
      </c>
      <c r="B47" s="309">
        <f>B45*B46/52</f>
        <v>1.9615384615384616E-3</v>
      </c>
      <c r="C47" s="5" t="s">
        <v>2045</v>
      </c>
      <c r="D47" s="5"/>
    </row>
    <row r="48" spans="1:4" hidden="1" outlineLevel="1"/>
    <row r="49" spans="1:9" s="10" customFormat="1" hidden="1" outlineLevel="1">
      <c r="A49" s="293" t="s">
        <v>2041</v>
      </c>
      <c r="B49" s="287"/>
      <c r="C49" s="287"/>
    </row>
    <row r="50" spans="1:9" hidden="1" outlineLevel="1"/>
    <row r="51" spans="1:9" hidden="1" outlineLevel="1">
      <c r="A51" s="5" t="s">
        <v>2102</v>
      </c>
      <c r="B51" s="294">
        <v>0.13</v>
      </c>
      <c r="C51" s="310" t="s">
        <v>179</v>
      </c>
      <c r="D51" s="5" t="s">
        <v>2103</v>
      </c>
    </row>
    <row r="52" spans="1:9" hidden="1" outlineLevel="1"/>
    <row r="53" spans="1:9" s="10" customFormat="1" hidden="1" outlineLevel="1">
      <c r="A53" s="293" t="s">
        <v>2042</v>
      </c>
      <c r="B53" s="287"/>
      <c r="C53" s="287"/>
    </row>
    <row r="54" spans="1:9" hidden="1" outlineLevel="2"/>
    <row r="55" spans="1:9" hidden="1" outlineLevel="2">
      <c r="A55" s="5" t="s">
        <v>2044</v>
      </c>
      <c r="B55" s="308">
        <v>0.03</v>
      </c>
      <c r="C55" s="5" t="s">
        <v>2467</v>
      </c>
      <c r="D55" s="5" t="s">
        <v>2100</v>
      </c>
    </row>
    <row r="56" spans="1:9" hidden="1" outlineLevel="2">
      <c r="A56" s="5" t="s">
        <v>147</v>
      </c>
      <c r="B56" s="295">
        <v>12</v>
      </c>
      <c r="C56" s="5" t="s">
        <v>2046</v>
      </c>
      <c r="D56" s="5" t="s">
        <v>2074</v>
      </c>
    </row>
    <row r="57" spans="1:9" hidden="1" outlineLevel="2">
      <c r="A57" s="5" t="s">
        <v>2047</v>
      </c>
      <c r="B57" s="309">
        <f>B55*B56/52</f>
        <v>6.9230769230769224E-3</v>
      </c>
      <c r="C57" s="5" t="s">
        <v>2045</v>
      </c>
      <c r="D57" s="5"/>
    </row>
    <row r="58" spans="1:9" hidden="1" outlineLevel="1"/>
    <row r="59" spans="1:9" hidden="1" collapsed="1"/>
    <row r="60" spans="1:9" s="10" customFormat="1" hidden="1">
      <c r="A60" s="287" t="s">
        <v>123</v>
      </c>
      <c r="B60" s="287"/>
      <c r="C60" s="287"/>
    </row>
    <row r="61" spans="1:9" hidden="1" outlineLevel="1"/>
    <row r="62" spans="1:9" ht="31.2" hidden="1" outlineLevel="1">
      <c r="A62" s="296" t="s">
        <v>35</v>
      </c>
      <c r="B62" s="297" t="s">
        <v>124</v>
      </c>
    </row>
    <row r="63" spans="1:9" hidden="1" outlineLevel="1">
      <c r="A63" s="298">
        <v>2026</v>
      </c>
      <c r="B63" s="299">
        <v>0</v>
      </c>
      <c r="C63" s="300"/>
      <c r="D63" s="300"/>
      <c r="E63" s="300"/>
      <c r="F63" s="300"/>
      <c r="G63" s="300"/>
      <c r="H63" s="300"/>
      <c r="I63" s="300"/>
    </row>
    <row r="64" spans="1:9" hidden="1" outlineLevel="1">
      <c r="A64" s="298">
        <v>2025</v>
      </c>
      <c r="B64" s="299">
        <v>4.2</v>
      </c>
      <c r="C64" s="300"/>
      <c r="D64" s="300"/>
      <c r="E64" s="300"/>
      <c r="F64" s="300"/>
      <c r="G64" s="300"/>
      <c r="H64" s="300"/>
      <c r="I64" s="300"/>
    </row>
    <row r="65" spans="1:9" hidden="1" outlineLevel="1">
      <c r="A65" s="298">
        <v>2024</v>
      </c>
      <c r="B65" s="299">
        <v>5.8</v>
      </c>
      <c r="C65" s="300"/>
      <c r="D65" s="300"/>
      <c r="E65" s="300"/>
      <c r="F65" s="300"/>
      <c r="G65" s="300"/>
      <c r="H65" s="300"/>
      <c r="I65" s="300"/>
    </row>
    <row r="66" spans="1:9" hidden="1" outlineLevel="1">
      <c r="A66" s="298">
        <v>2023</v>
      </c>
      <c r="B66" s="299">
        <v>6.8</v>
      </c>
      <c r="C66" s="300"/>
      <c r="D66" s="300"/>
      <c r="E66" s="300"/>
      <c r="F66" s="300"/>
      <c r="G66" s="300"/>
      <c r="H66" s="300"/>
      <c r="I66" s="300"/>
    </row>
    <row r="67" spans="1:9" hidden="1" outlineLevel="1">
      <c r="A67" s="298">
        <v>2022</v>
      </c>
      <c r="B67" s="299">
        <v>8.6999999999999993</v>
      </c>
      <c r="C67" s="300"/>
      <c r="D67" s="300"/>
      <c r="E67" s="300"/>
      <c r="F67" s="300"/>
      <c r="G67" s="300"/>
      <c r="H67" s="300"/>
      <c r="I67" s="300"/>
    </row>
    <row r="68" spans="1:9" hidden="1" outlineLevel="1">
      <c r="A68" s="298">
        <v>2021</v>
      </c>
      <c r="B68" s="299">
        <v>4.7</v>
      </c>
      <c r="C68" s="300"/>
      <c r="D68" s="300"/>
      <c r="E68" s="300"/>
      <c r="F68" s="300"/>
      <c r="G68" s="300"/>
      <c r="H68" s="300"/>
      <c r="I68" s="300"/>
    </row>
    <row r="69" spans="1:9" hidden="1" outlineLevel="1">
      <c r="A69" s="298">
        <v>2020</v>
      </c>
      <c r="B69" s="299">
        <v>3.2</v>
      </c>
      <c r="C69" s="300"/>
      <c r="D69" s="300"/>
      <c r="E69" s="300"/>
      <c r="F69" s="300"/>
      <c r="G69" s="300"/>
      <c r="H69" s="300"/>
      <c r="I69" s="300"/>
    </row>
    <row r="70" spans="1:9" hidden="1" outlineLevel="1">
      <c r="A70" s="298">
        <v>2019</v>
      </c>
      <c r="B70" s="299">
        <v>3.5</v>
      </c>
      <c r="C70" s="300"/>
      <c r="D70" s="300"/>
      <c r="E70" s="300"/>
      <c r="F70" s="300"/>
      <c r="G70" s="300"/>
      <c r="H70" s="300"/>
      <c r="I70" s="300"/>
    </row>
    <row r="71" spans="1:9" hidden="1" outlineLevel="1">
      <c r="A71" s="298">
        <v>2018</v>
      </c>
      <c r="B71" s="299">
        <v>3.6</v>
      </c>
      <c r="C71" s="300"/>
      <c r="D71" s="300"/>
      <c r="E71" s="300"/>
      <c r="F71" s="300"/>
      <c r="G71" s="300"/>
      <c r="H71" s="300"/>
      <c r="I71" s="300"/>
    </row>
    <row r="72" spans="1:9" hidden="1" outlineLevel="1">
      <c r="A72" s="298">
        <v>2017</v>
      </c>
      <c r="B72" s="299">
        <v>3.3</v>
      </c>
      <c r="C72" s="300"/>
      <c r="D72" s="300"/>
      <c r="E72" s="300"/>
      <c r="F72" s="300"/>
      <c r="G72" s="300"/>
      <c r="H72" s="300"/>
      <c r="I72" s="300"/>
    </row>
    <row r="73" spans="1:9" hidden="1" outlineLevel="1">
      <c r="A73" s="298">
        <v>2016</v>
      </c>
      <c r="B73" s="299">
        <v>2.7</v>
      </c>
      <c r="C73" s="300"/>
    </row>
    <row r="74" spans="1:9" hidden="1" outlineLevel="1">
      <c r="A74" s="298">
        <v>2015</v>
      </c>
      <c r="B74" s="299">
        <v>2.7</v>
      </c>
      <c r="C74" s="300"/>
    </row>
    <row r="75" spans="1:9" hidden="1" outlineLevel="1">
      <c r="A75" s="298">
        <v>2014</v>
      </c>
      <c r="B75" s="299">
        <v>3.2</v>
      </c>
      <c r="C75" s="300"/>
    </row>
    <row r="76" spans="1:9" hidden="1" outlineLevel="1">
      <c r="A76" s="298">
        <v>2013</v>
      </c>
      <c r="B76" s="299">
        <v>3.6</v>
      </c>
      <c r="C76" s="300"/>
    </row>
    <row r="77" spans="1:9" hidden="1" outlineLevel="1">
      <c r="A77" s="298">
        <v>2012</v>
      </c>
      <c r="B77" s="299">
        <v>4.0999999999999996</v>
      </c>
      <c r="C77" s="300"/>
    </row>
    <row r="78" spans="1:9" hidden="1" outlineLevel="1">
      <c r="A78" s="298">
        <v>2011</v>
      </c>
      <c r="B78" s="299">
        <v>5</v>
      </c>
      <c r="C78" s="300"/>
    </row>
    <row r="79" spans="1:9" hidden="1" outlineLevel="1">
      <c r="A79" s="298">
        <v>2010</v>
      </c>
      <c r="B79" s="299">
        <v>3.7</v>
      </c>
      <c r="C79" s="300"/>
    </row>
    <row r="80" spans="1:9" hidden="1" outlineLevel="1">
      <c r="A80" s="298">
        <v>2009</v>
      </c>
      <c r="B80" s="299">
        <v>2.6</v>
      </c>
      <c r="C80" s="300"/>
    </row>
    <row r="81" spans="1:9" hidden="1" outlineLevel="1">
      <c r="A81" s="298">
        <v>2008</v>
      </c>
      <c r="B81" s="299">
        <v>6.4</v>
      </c>
      <c r="C81" s="300"/>
    </row>
    <row r="82" spans="1:9" hidden="1" outlineLevel="1">
      <c r="A82" s="300"/>
      <c r="B82" s="300"/>
      <c r="C82" s="300"/>
      <c r="D82" s="300"/>
      <c r="E82" s="300"/>
      <c r="F82" s="300"/>
      <c r="G82" s="300"/>
      <c r="H82" s="300"/>
      <c r="I82" s="300"/>
    </row>
    <row r="83" spans="1:9" ht="31.2" hidden="1" outlineLevel="1">
      <c r="A83" s="301" t="s">
        <v>35</v>
      </c>
      <c r="B83" s="302" t="s">
        <v>125</v>
      </c>
      <c r="C83" s="300"/>
      <c r="D83" s="300"/>
      <c r="E83" s="300"/>
      <c r="F83" s="300"/>
      <c r="G83" s="300"/>
      <c r="H83" s="300"/>
      <c r="I83" s="300"/>
    </row>
    <row r="84" spans="1:9" hidden="1" outlineLevel="1">
      <c r="A84" s="303">
        <v>2026</v>
      </c>
      <c r="B84" s="304">
        <f t="shared" ref="B84:B89" si="0">IF($A84=$B$5,1,IF($A84&lt;$B$5,B83*(1+B63/100),B85/(1+B63/100)))</f>
        <v>1</v>
      </c>
      <c r="C84" s="300"/>
      <c r="D84" s="300"/>
      <c r="E84" s="300"/>
      <c r="F84" s="300"/>
      <c r="G84" s="300"/>
      <c r="H84" s="300"/>
      <c r="I84" s="300"/>
    </row>
    <row r="85" spans="1:9" hidden="1" outlineLevel="1">
      <c r="A85" s="303">
        <v>2025</v>
      </c>
      <c r="B85" s="304">
        <f t="shared" si="0"/>
        <v>1</v>
      </c>
      <c r="C85" s="300"/>
      <c r="D85" s="300"/>
      <c r="E85" s="300"/>
      <c r="F85" s="300"/>
      <c r="G85" s="300"/>
      <c r="H85" s="300"/>
      <c r="I85" s="300"/>
    </row>
    <row r="86" spans="1:9" hidden="1" outlineLevel="1">
      <c r="A86" s="303">
        <v>2024</v>
      </c>
      <c r="B86" s="304">
        <f t="shared" si="0"/>
        <v>1.0580000000000001</v>
      </c>
      <c r="C86" s="300"/>
      <c r="D86" s="300"/>
      <c r="E86" s="300"/>
      <c r="F86" s="300"/>
      <c r="G86" s="300"/>
      <c r="H86" s="300"/>
      <c r="I86" s="300"/>
    </row>
    <row r="87" spans="1:9" hidden="1" outlineLevel="1">
      <c r="A87" s="305">
        <v>2023</v>
      </c>
      <c r="B87" s="304">
        <f t="shared" si="0"/>
        <v>1.1299440000000001</v>
      </c>
      <c r="C87" s="300"/>
      <c r="D87" s="300"/>
      <c r="E87" s="300"/>
      <c r="F87" s="300"/>
      <c r="G87" s="300"/>
      <c r="H87" s="300"/>
      <c r="I87" s="300"/>
    </row>
    <row r="88" spans="1:9" hidden="1" outlineLevel="1">
      <c r="A88" s="305">
        <v>2022</v>
      </c>
      <c r="B88" s="304">
        <f t="shared" si="0"/>
        <v>1.2282491280000001</v>
      </c>
      <c r="C88" s="300"/>
      <c r="D88" s="300"/>
      <c r="E88" s="300"/>
      <c r="F88" s="300"/>
      <c r="G88" s="300"/>
      <c r="H88" s="300"/>
      <c r="I88" s="300"/>
    </row>
    <row r="89" spans="1:9" hidden="1" outlineLevel="1">
      <c r="A89" s="305">
        <v>2021</v>
      </c>
      <c r="B89" s="304">
        <f t="shared" si="0"/>
        <v>1.2859768370160001</v>
      </c>
      <c r="C89" s="300"/>
      <c r="D89" s="300"/>
      <c r="E89" s="300"/>
      <c r="F89" s="300"/>
      <c r="G89" s="300"/>
      <c r="H89" s="300"/>
      <c r="I89" s="300"/>
    </row>
    <row r="90" spans="1:9" hidden="1" outlineLevel="1">
      <c r="A90" s="305">
        <v>2020</v>
      </c>
      <c r="B90" s="304">
        <f t="shared" ref="B90:B102" si="1">IF($A90=$B$5,1,IF($A90&lt;$B$5,B89*(1+B69/100),B91/(1+B69/100)))</f>
        <v>1.3271280958005121</v>
      </c>
      <c r="C90" s="300"/>
      <c r="D90" s="300"/>
      <c r="E90" s="300"/>
      <c r="F90" s="300"/>
      <c r="G90" s="300"/>
      <c r="H90" s="300"/>
      <c r="I90" s="300"/>
    </row>
    <row r="91" spans="1:9" hidden="1" outlineLevel="1">
      <c r="A91" s="305">
        <v>2019</v>
      </c>
      <c r="B91" s="304">
        <f t="shared" si="1"/>
        <v>1.3735775791535298</v>
      </c>
      <c r="C91" s="300"/>
      <c r="D91" s="300"/>
      <c r="E91" s="300"/>
      <c r="F91" s="300"/>
      <c r="G91" s="300"/>
      <c r="H91" s="300"/>
      <c r="I91" s="300"/>
    </row>
    <row r="92" spans="1:9" hidden="1" outlineLevel="1">
      <c r="A92" s="305">
        <v>2018</v>
      </c>
      <c r="B92" s="304">
        <f t="shared" si="1"/>
        <v>1.4230263720030569</v>
      </c>
      <c r="C92" s="300"/>
      <c r="D92" s="300"/>
      <c r="E92" s="300"/>
      <c r="F92" s="300"/>
      <c r="G92" s="300"/>
      <c r="H92" s="300"/>
      <c r="I92" s="300"/>
    </row>
    <row r="93" spans="1:9" hidden="1" outlineLevel="1">
      <c r="A93" s="305">
        <v>2017</v>
      </c>
      <c r="B93" s="304">
        <f t="shared" si="1"/>
        <v>1.4699862422791576</v>
      </c>
      <c r="C93" s="300"/>
      <c r="D93" s="300"/>
      <c r="E93" s="300"/>
      <c r="F93" s="300"/>
      <c r="G93" s="300"/>
      <c r="H93" s="300"/>
      <c r="I93" s="300"/>
    </row>
    <row r="94" spans="1:9" hidden="1" outlineLevel="1">
      <c r="A94" s="305">
        <v>2016</v>
      </c>
      <c r="B94" s="304">
        <f t="shared" si="1"/>
        <v>1.5096758708206948</v>
      </c>
      <c r="C94" s="300"/>
      <c r="D94" s="300"/>
      <c r="E94" s="300"/>
      <c r="F94" s="300"/>
      <c r="G94" s="300"/>
      <c r="H94" s="300"/>
      <c r="I94" s="300"/>
    </row>
    <row r="95" spans="1:9" hidden="1" outlineLevel="1">
      <c r="A95" s="305">
        <v>2015</v>
      </c>
      <c r="B95" s="304">
        <f t="shared" si="1"/>
        <v>1.5504371193328534</v>
      </c>
      <c r="C95" s="300"/>
      <c r="D95" s="300"/>
      <c r="E95" s="300"/>
      <c r="F95" s="300"/>
      <c r="G95" s="300"/>
      <c r="H95" s="300"/>
      <c r="I95" s="300"/>
    </row>
    <row r="96" spans="1:9" hidden="1" outlineLevel="1">
      <c r="A96" s="305">
        <v>2014</v>
      </c>
      <c r="B96" s="304">
        <f t="shared" si="1"/>
        <v>1.6000511071515049</v>
      </c>
      <c r="C96" s="300"/>
      <c r="D96" s="300"/>
      <c r="E96" s="300"/>
      <c r="F96" s="300"/>
      <c r="G96" s="300"/>
      <c r="H96" s="300"/>
      <c r="I96" s="300"/>
    </row>
    <row r="97" spans="1:9" hidden="1" outlineLevel="1">
      <c r="A97" s="305">
        <v>2013</v>
      </c>
      <c r="B97" s="304">
        <f t="shared" si="1"/>
        <v>1.6576529470089592</v>
      </c>
      <c r="C97" s="300"/>
      <c r="D97" s="300"/>
      <c r="E97" s="300"/>
      <c r="F97" s="300"/>
      <c r="G97" s="300"/>
      <c r="H97" s="300"/>
      <c r="I97" s="300"/>
    </row>
    <row r="98" spans="1:9" hidden="1" outlineLevel="1">
      <c r="A98" s="305">
        <v>2012</v>
      </c>
      <c r="B98" s="304">
        <f t="shared" si="1"/>
        <v>1.7256167178363264</v>
      </c>
      <c r="C98" s="300"/>
      <c r="D98" s="300"/>
      <c r="E98" s="300"/>
      <c r="F98" s="300"/>
      <c r="G98" s="300"/>
      <c r="H98" s="300"/>
      <c r="I98" s="300"/>
    </row>
    <row r="99" spans="1:9" hidden="1" outlineLevel="1">
      <c r="A99" s="305">
        <v>2011</v>
      </c>
      <c r="B99" s="304">
        <f t="shared" si="1"/>
        <v>1.8118975537281428</v>
      </c>
      <c r="C99" s="300"/>
      <c r="D99" s="300"/>
      <c r="E99" s="300"/>
      <c r="F99" s="300"/>
      <c r="G99" s="300"/>
      <c r="H99" s="300"/>
      <c r="I99" s="300"/>
    </row>
    <row r="100" spans="1:9" hidden="1" outlineLevel="1">
      <c r="A100" s="305">
        <v>2010</v>
      </c>
      <c r="B100" s="304">
        <f t="shared" si="1"/>
        <v>1.878937763216084</v>
      </c>
      <c r="C100" s="300"/>
      <c r="D100" s="300"/>
      <c r="E100" s="300"/>
      <c r="F100" s="300"/>
      <c r="G100" s="300"/>
      <c r="H100" s="300"/>
      <c r="I100" s="300"/>
    </row>
    <row r="101" spans="1:9" hidden="1" outlineLevel="1">
      <c r="A101" s="305">
        <v>2009</v>
      </c>
      <c r="B101" s="304">
        <f t="shared" si="1"/>
        <v>1.9277901450597021</v>
      </c>
      <c r="C101" s="300"/>
      <c r="D101" s="300"/>
      <c r="E101" s="300"/>
      <c r="F101" s="300"/>
      <c r="G101" s="300"/>
      <c r="H101" s="300"/>
      <c r="I101" s="300"/>
    </row>
    <row r="102" spans="1:9" hidden="1" outlineLevel="1">
      <c r="A102" s="305">
        <v>2008</v>
      </c>
      <c r="B102" s="304">
        <f t="shared" si="1"/>
        <v>2.0511687143435231</v>
      </c>
      <c r="C102" s="300"/>
      <c r="D102" s="300"/>
      <c r="E102" s="300"/>
      <c r="F102" s="300"/>
      <c r="G102" s="300"/>
      <c r="H102" s="300"/>
      <c r="I102" s="300"/>
    </row>
    <row r="103" spans="1:9" hidden="1" collapsed="1"/>
    <row r="104" spans="1:9" s="10" customFormat="1" hidden="1">
      <c r="A104" s="287" t="s">
        <v>2075</v>
      </c>
      <c r="B104" s="287"/>
      <c r="C104" s="287"/>
    </row>
    <row r="105" spans="1:9" hidden="1" outlineLevel="1"/>
    <row r="106" spans="1:9" s="10" customFormat="1" hidden="1" outlineLevel="1">
      <c r="A106" s="293" t="s">
        <v>2091</v>
      </c>
      <c r="B106" s="287"/>
      <c r="C106" s="287"/>
    </row>
    <row r="107" spans="1:9" hidden="1" outlineLevel="2"/>
    <row r="108" spans="1:9" hidden="1" outlineLevel="2">
      <c r="A108" t="s">
        <v>2096</v>
      </c>
      <c r="C108" s="306"/>
      <c r="D108" s="306"/>
      <c r="E108" s="306"/>
      <c r="F108" s="306"/>
      <c r="G108" s="306"/>
    </row>
    <row r="109" spans="1:9" hidden="1" outlineLevel="2">
      <c r="A109" s="290" t="s">
        <v>297</v>
      </c>
      <c r="B109" s="290" t="s">
        <v>2090</v>
      </c>
      <c r="C109" s="290" t="s">
        <v>2087</v>
      </c>
      <c r="D109" s="290" t="s">
        <v>2088</v>
      </c>
      <c r="E109" s="290" t="s">
        <v>2089</v>
      </c>
      <c r="F109" s="290"/>
      <c r="G109" s="290"/>
    </row>
    <row r="110" spans="1:9" hidden="1" outlineLevel="2">
      <c r="A110" s="5" t="s">
        <v>120</v>
      </c>
      <c r="B110" s="4">
        <v>0.37</v>
      </c>
      <c r="C110" s="4">
        <v>0.52</v>
      </c>
      <c r="D110" s="4">
        <v>0.10999999999999999</v>
      </c>
      <c r="E110" s="4">
        <v>0</v>
      </c>
      <c r="F110" s="4"/>
      <c r="G110" s="4"/>
      <c r="H110" s="307"/>
    </row>
    <row r="111" spans="1:9" hidden="1" outlineLevel="2">
      <c r="A111" s="5" t="s">
        <v>2076</v>
      </c>
      <c r="B111" s="4">
        <v>0.11</v>
      </c>
      <c r="C111" s="4">
        <v>0.26</v>
      </c>
      <c r="D111" s="4">
        <v>1.0000000000000009E-2</v>
      </c>
      <c r="E111" s="4">
        <v>0.62</v>
      </c>
      <c r="F111" s="4"/>
      <c r="G111" s="4"/>
      <c r="H111" s="307"/>
    </row>
    <row r="112" spans="1:9" hidden="1" outlineLevel="2">
      <c r="A112" s="5" t="s">
        <v>2079</v>
      </c>
      <c r="B112" s="4">
        <v>5.7000000000000002E-2</v>
      </c>
      <c r="C112" s="4">
        <v>0.60699999999999998</v>
      </c>
      <c r="D112" s="4">
        <v>0</v>
      </c>
      <c r="E112" s="4">
        <v>0.33700000000000002</v>
      </c>
      <c r="F112" s="4"/>
      <c r="G112" s="4"/>
      <c r="H112" s="307"/>
    </row>
    <row r="113" spans="1:8" hidden="1" outlineLevel="2">
      <c r="A113" s="5" t="s">
        <v>2077</v>
      </c>
      <c r="B113" s="4">
        <v>0.44</v>
      </c>
      <c r="C113" s="4">
        <v>0.1</v>
      </c>
      <c r="D113" s="4">
        <v>0.40999999999999992</v>
      </c>
      <c r="E113" s="4">
        <v>0.05</v>
      </c>
      <c r="F113" s="4"/>
      <c r="G113" s="4"/>
      <c r="H113" s="307"/>
    </row>
    <row r="114" spans="1:8" hidden="1" outlineLevel="2">
      <c r="A114" s="5" t="s">
        <v>2078</v>
      </c>
      <c r="B114" s="4">
        <v>0.56000000000000005</v>
      </c>
      <c r="C114" s="4">
        <v>0.09</v>
      </c>
      <c r="D114" s="4">
        <v>0.32999999999999996</v>
      </c>
      <c r="E114" s="4">
        <v>0.02</v>
      </c>
      <c r="F114" s="4"/>
      <c r="G114" s="4"/>
      <c r="H114" s="307"/>
    </row>
    <row r="115" spans="1:8" hidden="1" outlineLevel="2">
      <c r="A115" s="5" t="s">
        <v>2080</v>
      </c>
      <c r="B115" s="4">
        <v>0.42</v>
      </c>
      <c r="C115" s="4">
        <v>0.4</v>
      </c>
      <c r="D115" s="4">
        <v>0.11999999999999988</v>
      </c>
      <c r="E115" s="4">
        <v>0.06</v>
      </c>
      <c r="F115" s="4"/>
      <c r="G115" s="4"/>
      <c r="H115" s="307"/>
    </row>
    <row r="116" spans="1:8" hidden="1" outlineLevel="2">
      <c r="A116" s="5" t="s">
        <v>2081</v>
      </c>
      <c r="B116" s="4">
        <v>0.25</v>
      </c>
      <c r="C116" s="4">
        <v>0.45</v>
      </c>
      <c r="D116" s="4">
        <v>5.0000000000000044E-2</v>
      </c>
      <c r="E116" s="4">
        <v>0.25</v>
      </c>
      <c r="F116" s="4"/>
      <c r="G116" s="4"/>
      <c r="H116" s="307"/>
    </row>
    <row r="117" spans="1:8" hidden="1" outlineLevel="2">
      <c r="A117" s="5" t="s">
        <v>2082</v>
      </c>
      <c r="B117" s="4">
        <v>0.18</v>
      </c>
      <c r="C117" s="4">
        <v>0.47</v>
      </c>
      <c r="D117" s="4">
        <v>1.0000000000000009E-2</v>
      </c>
      <c r="E117" s="4">
        <v>0.34</v>
      </c>
      <c r="F117" s="4"/>
      <c r="G117" s="4"/>
      <c r="H117" s="307"/>
    </row>
    <row r="118" spans="1:8" hidden="1" outlineLevel="2">
      <c r="A118" s="5" t="s">
        <v>119</v>
      </c>
      <c r="B118" s="4">
        <v>3.6999999999999998E-2</v>
      </c>
      <c r="C118" s="4">
        <v>9.7000000000000003E-2</v>
      </c>
      <c r="D118" s="4">
        <v>0</v>
      </c>
      <c r="E118" s="4">
        <v>0.86699999999999999</v>
      </c>
      <c r="F118" s="4"/>
      <c r="G118" s="4"/>
      <c r="H118" s="307"/>
    </row>
    <row r="119" spans="1:8" hidden="1" outlineLevel="2">
      <c r="A119" s="5" t="s">
        <v>2083</v>
      </c>
      <c r="B119" s="4">
        <v>0.1</v>
      </c>
      <c r="C119" s="4">
        <v>0.11</v>
      </c>
      <c r="D119" s="4">
        <v>0</v>
      </c>
      <c r="E119" s="4">
        <v>0.79</v>
      </c>
      <c r="F119" s="4"/>
      <c r="G119" s="4"/>
      <c r="H119" s="307"/>
    </row>
    <row r="120" spans="1:8" hidden="1" outlineLevel="2">
      <c r="A120" s="5" t="s">
        <v>2084</v>
      </c>
      <c r="B120" s="4">
        <v>0.1</v>
      </c>
      <c r="C120" s="4">
        <v>0.26</v>
      </c>
      <c r="D120" s="4">
        <v>0.28000000000000003</v>
      </c>
      <c r="E120" s="4">
        <v>0.36</v>
      </c>
      <c r="F120" s="4"/>
      <c r="G120" s="4"/>
      <c r="H120" s="307"/>
    </row>
    <row r="121" spans="1:8" hidden="1" outlineLevel="2">
      <c r="A121" s="5" t="s">
        <v>2085</v>
      </c>
      <c r="B121" s="4">
        <v>0.05</v>
      </c>
      <c r="C121" s="4">
        <v>0.27</v>
      </c>
      <c r="D121" s="4">
        <v>6.0000000000000053E-2</v>
      </c>
      <c r="E121" s="4">
        <v>0.62</v>
      </c>
      <c r="F121" s="4"/>
      <c r="G121" s="4"/>
      <c r="H121" s="307"/>
    </row>
    <row r="122" spans="1:8" hidden="1" outlineLevel="2">
      <c r="A122" s="5" t="s">
        <v>2086</v>
      </c>
      <c r="B122" s="4">
        <v>0.54</v>
      </c>
      <c r="C122" s="4">
        <v>0.39</v>
      </c>
      <c r="D122" s="4">
        <v>0</v>
      </c>
      <c r="E122" s="4">
        <v>7.0000000000000007E-2</v>
      </c>
      <c r="F122" s="4"/>
      <c r="G122" s="4"/>
      <c r="H122" s="307"/>
    </row>
    <row r="123" spans="1:8" hidden="1" outlineLevel="1"/>
    <row r="124" spans="1:8" s="10" customFormat="1" hidden="1" outlineLevel="1">
      <c r="A124" s="293" t="s">
        <v>2092</v>
      </c>
      <c r="B124" s="287"/>
      <c r="C124" s="287"/>
    </row>
    <row r="125" spans="1:8" hidden="1" outlineLevel="2"/>
    <row r="126" spans="1:8" hidden="1" outlineLevel="2">
      <c r="A126" t="s">
        <v>2095</v>
      </c>
    </row>
    <row r="127" spans="1:8" hidden="1" outlineLevel="2">
      <c r="A127" s="290" t="s">
        <v>297</v>
      </c>
      <c r="B127" s="290" t="s">
        <v>2097</v>
      </c>
    </row>
    <row r="128" spans="1:8" hidden="1" outlineLevel="2">
      <c r="A128" s="5" t="s">
        <v>2093</v>
      </c>
      <c r="B128" s="4">
        <v>0.28854756999999998</v>
      </c>
    </row>
    <row r="129" spans="1:6" hidden="1" outlineLevel="2">
      <c r="A129" s="5" t="s">
        <v>2094</v>
      </c>
      <c r="B129" s="4">
        <v>0.33391936999999999</v>
      </c>
    </row>
    <row r="130" spans="1:6" hidden="1" outlineLevel="2">
      <c r="A130" s="5" t="s">
        <v>386</v>
      </c>
      <c r="B130" s="4">
        <v>0.26685574000000001</v>
      </c>
    </row>
    <row r="131" spans="1:6" hidden="1" outlineLevel="2">
      <c r="A131" s="5" t="s">
        <v>1515</v>
      </c>
      <c r="B131" s="4">
        <v>5.4794409999999995E-2</v>
      </c>
    </row>
    <row r="132" spans="1:6" hidden="1" outlineLevel="2">
      <c r="A132" s="5" t="s">
        <v>462</v>
      </c>
      <c r="B132" s="4">
        <v>0.45670982000000004</v>
      </c>
    </row>
    <row r="133" spans="1:6" hidden="1" outlineLevel="2">
      <c r="A133" s="5" t="s">
        <v>117</v>
      </c>
      <c r="B133" s="4">
        <v>0.39457149999999996</v>
      </c>
    </row>
    <row r="134" spans="1:6" hidden="1" outlineLevel="2">
      <c r="A134" s="5" t="s">
        <v>2085</v>
      </c>
      <c r="B134" s="4">
        <v>6.5862749999999998E-2</v>
      </c>
    </row>
    <row r="135" spans="1:6" hidden="1" outlineLevel="2">
      <c r="A135" s="5" t="s">
        <v>119</v>
      </c>
      <c r="B135" s="4">
        <v>0.63090157000000002</v>
      </c>
    </row>
    <row r="136" spans="1:6" hidden="1" outlineLevel="2">
      <c r="A136" s="5" t="s">
        <v>664</v>
      </c>
      <c r="B136" s="4">
        <v>3.3611373999999999E-2</v>
      </c>
    </row>
    <row r="137" spans="1:6" hidden="1" outlineLevel="2">
      <c r="A137" s="5" t="s">
        <v>314</v>
      </c>
      <c r="B137" s="4">
        <v>0.22151478000000002</v>
      </c>
    </row>
    <row r="138" spans="1:6" hidden="1" outlineLevel="1"/>
    <row r="139" spans="1:6" hidden="1" collapsed="1"/>
    <row r="140" spans="1:6" s="10" customFormat="1" hidden="1">
      <c r="A140" s="287" t="s">
        <v>73</v>
      </c>
      <c r="B140" s="287"/>
      <c r="C140" s="287"/>
    </row>
    <row r="141" spans="1:6" hidden="1" outlineLevel="1"/>
    <row r="142" spans="1:6" hidden="1" outlineLevel="2">
      <c r="A142" s="243" t="s">
        <v>1863</v>
      </c>
      <c r="B142" s="213"/>
    </row>
    <row r="143" spans="1:6" hidden="1" outlineLevel="2">
      <c r="A143" s="213" t="s">
        <v>1879</v>
      </c>
      <c r="B143" s="250">
        <v>0.01</v>
      </c>
      <c r="C143" t="s">
        <v>141</v>
      </c>
      <c r="D143" t="s">
        <v>42</v>
      </c>
      <c r="E143" t="s">
        <v>1741</v>
      </c>
      <c r="F143" t="s">
        <v>1864</v>
      </c>
    </row>
    <row r="144" spans="1:6" hidden="1" outlineLevel="2">
      <c r="A144" s="213" t="s">
        <v>1880</v>
      </c>
      <c r="B144" s="250">
        <v>0.01</v>
      </c>
      <c r="C144" t="s">
        <v>141</v>
      </c>
      <c r="D144" t="s">
        <v>42</v>
      </c>
      <c r="E144" t="s">
        <v>1740</v>
      </c>
    </row>
    <row r="145" spans="1:7" hidden="1" outlineLevel="2">
      <c r="A145" s="213" t="s">
        <v>1881</v>
      </c>
      <c r="B145" s="250">
        <v>0.1</v>
      </c>
      <c r="C145" t="s">
        <v>141</v>
      </c>
      <c r="D145" t="s">
        <v>42</v>
      </c>
      <c r="E145" t="s">
        <v>1740</v>
      </c>
    </row>
    <row r="146" spans="1:7" hidden="1" outlineLevel="2">
      <c r="A146" s="213" t="s">
        <v>1868</v>
      </c>
      <c r="B146" s="260">
        <f>62/142</f>
        <v>0.43661971830985913</v>
      </c>
      <c r="C146" t="s">
        <v>1872</v>
      </c>
      <c r="D146" t="s">
        <v>42</v>
      </c>
      <c r="E146" t="s">
        <v>1741</v>
      </c>
      <c r="F146" t="s">
        <v>1865</v>
      </c>
    </row>
    <row r="147" spans="1:7" hidden="1" outlineLevel="2">
      <c r="A147" s="213" t="s">
        <v>1869</v>
      </c>
      <c r="B147" s="260">
        <f>46/14</f>
        <v>3.2857142857142856</v>
      </c>
      <c r="C147" t="s">
        <v>1871</v>
      </c>
      <c r="D147" t="s">
        <v>42</v>
      </c>
      <c r="E147" t="s">
        <v>1741</v>
      </c>
    </row>
    <row r="148" spans="1:7" hidden="1" outlineLevel="2">
      <c r="A148" s="213" t="s">
        <v>1867</v>
      </c>
      <c r="B148" s="260">
        <v>298</v>
      </c>
      <c r="C148" t="s">
        <v>1870</v>
      </c>
      <c r="D148" t="s">
        <v>49</v>
      </c>
      <c r="E148" t="s">
        <v>1741</v>
      </c>
      <c r="F148" t="s">
        <v>1866</v>
      </c>
    </row>
    <row r="149" spans="1:7" hidden="1" outlineLevel="2">
      <c r="A149" s="213" t="s">
        <v>1876</v>
      </c>
      <c r="B149" s="263">
        <f>B143*B147*B148</f>
        <v>9.7914285714285718</v>
      </c>
      <c r="C149" t="s">
        <v>1875</v>
      </c>
      <c r="D149" t="s">
        <v>49</v>
      </c>
      <c r="E149" t="s">
        <v>1740</v>
      </c>
    </row>
    <row r="150" spans="1:7" hidden="1" outlineLevel="2">
      <c r="A150" s="213" t="s">
        <v>1877</v>
      </c>
      <c r="B150" s="263">
        <f>$B$84*$B$88</f>
        <v>1.2282491280000001</v>
      </c>
      <c r="C150" t="s">
        <v>1878</v>
      </c>
      <c r="D150" t="s">
        <v>49</v>
      </c>
      <c r="E150" t="s">
        <v>1740</v>
      </c>
    </row>
    <row r="151" spans="1:7" hidden="1" outlineLevel="2">
      <c r="A151" s="213"/>
      <c r="B151" s="213"/>
    </row>
    <row r="152" spans="1:7" hidden="1" outlineLevel="2">
      <c r="A152" s="243" t="s">
        <v>1908</v>
      </c>
      <c r="B152" s="213"/>
    </row>
    <row r="153" spans="1:7" hidden="1" outlineLevel="2">
      <c r="A153" s="213" t="s">
        <v>1879</v>
      </c>
      <c r="B153" s="254"/>
      <c r="D153" t="s">
        <v>42</v>
      </c>
      <c r="E153" t="s">
        <v>135</v>
      </c>
    </row>
    <row r="154" spans="1:7" hidden="1" outlineLevel="2">
      <c r="A154" s="213" t="s">
        <v>1880</v>
      </c>
      <c r="B154" s="254"/>
      <c r="D154" t="s">
        <v>42</v>
      </c>
      <c r="E154" t="s">
        <v>135</v>
      </c>
    </row>
    <row r="155" spans="1:7" hidden="1" outlineLevel="2">
      <c r="A155" s="213" t="s">
        <v>1881</v>
      </c>
      <c r="B155" s="254"/>
      <c r="D155" t="s">
        <v>42</v>
      </c>
      <c r="E155" t="s">
        <v>135</v>
      </c>
    </row>
    <row r="156" spans="1:7" hidden="1" outlineLevel="2">
      <c r="A156" s="213" t="s">
        <v>1879</v>
      </c>
      <c r="B156" s="254"/>
      <c r="D156" t="s">
        <v>49</v>
      </c>
      <c r="E156" t="s">
        <v>1741</v>
      </c>
      <c r="F156" t="s">
        <v>1866</v>
      </c>
      <c r="G156" t="s">
        <v>262</v>
      </c>
    </row>
    <row r="157" spans="1:7" hidden="1" outlineLevel="2">
      <c r="A157" s="213" t="s">
        <v>1880</v>
      </c>
      <c r="B157" s="254"/>
      <c r="D157" t="s">
        <v>49</v>
      </c>
      <c r="E157" t="s">
        <v>1741</v>
      </c>
      <c r="F157" t="s">
        <v>1866</v>
      </c>
      <c r="G157" t="s">
        <v>262</v>
      </c>
    </row>
    <row r="158" spans="1:7" hidden="1" outlineLevel="2">
      <c r="A158" s="213" t="s">
        <v>1881</v>
      </c>
      <c r="B158" s="254"/>
      <c r="D158" t="s">
        <v>49</v>
      </c>
      <c r="E158" t="s">
        <v>1741</v>
      </c>
      <c r="F158" t="s">
        <v>1866</v>
      </c>
      <c r="G158" t="s">
        <v>262</v>
      </c>
    </row>
    <row r="159" spans="1:7" hidden="1" collapsed="1"/>
    <row r="160" spans="1:7" hidden="1"/>
    <row r="161" spans="1:7" s="10" customFormat="1">
      <c r="A161" s="423" t="s">
        <v>2482</v>
      </c>
      <c r="B161" s="424"/>
      <c r="C161" s="424"/>
      <c r="D161" s="424"/>
      <c r="E161" s="424"/>
      <c r="F161" s="424"/>
      <c r="G161" s="424"/>
    </row>
    <row r="162" spans="1:7">
      <c r="A162" s="354" t="s">
        <v>2483</v>
      </c>
      <c r="B162" s="331"/>
      <c r="C162" s="331"/>
      <c r="D162" s="331"/>
      <c r="E162" s="331"/>
      <c r="F162" s="331"/>
      <c r="G162" s="331"/>
    </row>
    <row r="163" spans="1:7" s="425" customFormat="1" ht="12">
      <c r="A163" s="425" t="s">
        <v>3109</v>
      </c>
    </row>
    <row r="165" spans="1:7">
      <c r="A165" s="370" t="s">
        <v>2484</v>
      </c>
      <c r="B165" s="370" t="s">
        <v>83</v>
      </c>
      <c r="C165" s="370" t="s">
        <v>84</v>
      </c>
      <c r="D165" s="370" t="s">
        <v>1723</v>
      </c>
      <c r="E165" s="370" t="s">
        <v>2835</v>
      </c>
      <c r="F165" s="370" t="s">
        <v>2703</v>
      </c>
      <c r="G165" s="370" t="s">
        <v>2773</v>
      </c>
    </row>
    <row r="166" spans="1:7">
      <c r="A166" s="366" t="s">
        <v>2478</v>
      </c>
      <c r="B166" s="365">
        <v>7.0000000000000007E-2</v>
      </c>
      <c r="C166" s="366" t="s">
        <v>2479</v>
      </c>
      <c r="D166" s="366" t="s">
        <v>42</v>
      </c>
      <c r="E166" s="366" t="s">
        <v>2506</v>
      </c>
      <c r="F166" s="366" t="s">
        <v>2704</v>
      </c>
      <c r="G166" s="366"/>
    </row>
    <row r="167" spans="1:7">
      <c r="A167" s="366" t="s">
        <v>2485</v>
      </c>
      <c r="B167" s="367">
        <v>800</v>
      </c>
      <c r="C167" s="366" t="s">
        <v>2481</v>
      </c>
      <c r="D167" s="366" t="s">
        <v>42</v>
      </c>
      <c r="E167" s="366" t="s">
        <v>2506</v>
      </c>
      <c r="F167" s="366" t="s">
        <v>2704</v>
      </c>
      <c r="G167" s="366"/>
    </row>
    <row r="168" spans="1:7">
      <c r="A168" s="369"/>
      <c r="B168" s="369"/>
      <c r="C168" s="369"/>
      <c r="D168" s="369"/>
      <c r="E168" s="369"/>
      <c r="F168" s="369"/>
      <c r="G168" s="369"/>
    </row>
    <row r="169" spans="1:7">
      <c r="A169" s="358" t="s">
        <v>2507</v>
      </c>
      <c r="B169" s="359"/>
      <c r="C169" s="359"/>
      <c r="D169" s="359"/>
      <c r="E169" s="359"/>
      <c r="F169" s="359"/>
      <c r="G169" s="359"/>
    </row>
    <row r="170" spans="1:7">
      <c r="A170" s="377" t="s">
        <v>2508</v>
      </c>
      <c r="B170" s="377" t="s">
        <v>83</v>
      </c>
      <c r="C170" s="377" t="s">
        <v>84</v>
      </c>
      <c r="D170" s="377" t="s">
        <v>2509</v>
      </c>
      <c r="E170" s="377" t="s">
        <v>2835</v>
      </c>
      <c r="F170" s="377"/>
      <c r="G170" s="377" t="s">
        <v>2773</v>
      </c>
    </row>
    <row r="171" spans="1:7">
      <c r="A171" s="372" t="s">
        <v>2510</v>
      </c>
      <c r="B171" s="371">
        <v>15952</v>
      </c>
      <c r="C171" s="372" t="s">
        <v>2511</v>
      </c>
      <c r="D171" s="372" t="s">
        <v>2512</v>
      </c>
      <c r="E171" s="372" t="s">
        <v>2846</v>
      </c>
      <c r="F171" s="422" t="s">
        <v>2705</v>
      </c>
      <c r="G171" s="372" t="s">
        <v>2731</v>
      </c>
    </row>
    <row r="172" spans="1:7">
      <c r="A172" s="372" t="s">
        <v>2513</v>
      </c>
      <c r="B172" s="371">
        <v>500</v>
      </c>
      <c r="C172" s="372" t="s">
        <v>2514</v>
      </c>
      <c r="D172" s="372" t="s">
        <v>2515</v>
      </c>
      <c r="E172" s="372" t="s">
        <v>2847</v>
      </c>
      <c r="F172" s="422" t="s">
        <v>2706</v>
      </c>
      <c r="G172" s="372" t="s">
        <v>2908</v>
      </c>
    </row>
    <row r="173" spans="1:7">
      <c r="A173" s="372" t="s">
        <v>2516</v>
      </c>
      <c r="B173" s="373">
        <f>'Regionalized NatCap | VI'!H8</f>
        <v>0.15428142324599836</v>
      </c>
      <c r="C173" s="372" t="s">
        <v>2517</v>
      </c>
      <c r="D173" s="372" t="s">
        <v>2518</v>
      </c>
      <c r="E173" s="372" t="s">
        <v>2848</v>
      </c>
      <c r="F173" s="372" t="s">
        <v>2707</v>
      </c>
      <c r="G173" s="372" t="s">
        <v>2732</v>
      </c>
    </row>
    <row r="174" spans="1:7">
      <c r="A174" s="372" t="s">
        <v>2521</v>
      </c>
      <c r="B174" s="371">
        <v>3000</v>
      </c>
      <c r="C174" s="372" t="s">
        <v>2511</v>
      </c>
      <c r="D174" s="372" t="s">
        <v>2522</v>
      </c>
      <c r="E174" s="372" t="s">
        <v>2849</v>
      </c>
      <c r="F174" s="372" t="s">
        <v>2709</v>
      </c>
      <c r="G174" s="372" t="s">
        <v>2733</v>
      </c>
    </row>
    <row r="175" spans="1:7">
      <c r="A175" s="372" t="s">
        <v>2785</v>
      </c>
      <c r="B175" s="371">
        <v>1000</v>
      </c>
      <c r="C175" s="372" t="s">
        <v>2511</v>
      </c>
      <c r="D175" s="372" t="s">
        <v>2522</v>
      </c>
      <c r="E175" s="372" t="s">
        <v>2836</v>
      </c>
      <c r="F175" s="422" t="s">
        <v>2786</v>
      </c>
      <c r="G175" s="404" t="s">
        <v>2909</v>
      </c>
    </row>
    <row r="176" spans="1:7">
      <c r="A176" s="372" t="s">
        <v>2787</v>
      </c>
      <c r="B176" s="371">
        <v>2000</v>
      </c>
      <c r="C176" s="372" t="s">
        <v>2511</v>
      </c>
      <c r="D176" s="372" t="s">
        <v>2512</v>
      </c>
      <c r="E176" s="372" t="s">
        <v>2837</v>
      </c>
      <c r="F176" s="422" t="s">
        <v>2788</v>
      </c>
      <c r="G176" s="404" t="s">
        <v>2910</v>
      </c>
    </row>
    <row r="177" spans="1:7">
      <c r="A177" s="372" t="s">
        <v>2789</v>
      </c>
      <c r="B177" s="409">
        <f>B206/B166</f>
        <v>154285.71428571426</v>
      </c>
      <c r="C177" s="372" t="s">
        <v>2511</v>
      </c>
      <c r="D177" s="372" t="s">
        <v>2790</v>
      </c>
      <c r="E177" s="388" t="s">
        <v>2824</v>
      </c>
      <c r="F177" s="388" t="s">
        <v>2791</v>
      </c>
      <c r="G177" s="404" t="s">
        <v>2825</v>
      </c>
    </row>
    <row r="178" spans="1:7">
      <c r="A178" s="372" t="s">
        <v>2792</v>
      </c>
      <c r="B178" s="371">
        <v>8000</v>
      </c>
      <c r="C178" s="372" t="s">
        <v>2511</v>
      </c>
      <c r="D178" s="372" t="s">
        <v>2522</v>
      </c>
      <c r="E178" s="372" t="s">
        <v>2850</v>
      </c>
      <c r="F178" s="422" t="s">
        <v>2793</v>
      </c>
      <c r="G178" s="404" t="s">
        <v>2794</v>
      </c>
    </row>
    <row r="179" spans="1:7">
      <c r="A179" s="372" t="s">
        <v>2798</v>
      </c>
      <c r="B179" s="407">
        <v>3.6669999999999998</v>
      </c>
      <c r="C179" s="372" t="s">
        <v>2799</v>
      </c>
      <c r="D179" s="372" t="s">
        <v>2800</v>
      </c>
      <c r="E179" s="372" t="s">
        <v>2801</v>
      </c>
      <c r="F179" s="372"/>
      <c r="G179" s="404" t="s">
        <v>2802</v>
      </c>
    </row>
    <row r="180" spans="1:7">
      <c r="A180" s="376" t="s">
        <v>2523</v>
      </c>
      <c r="B180" s="375">
        <f>(B171+B174+B175+B176+B177+B178)*B166 + (B172*B179*B173*B166)</f>
        <v>12916.441249266507</v>
      </c>
      <c r="C180" s="376" t="s">
        <v>2499</v>
      </c>
      <c r="D180" s="372"/>
      <c r="E180" s="372" t="s">
        <v>2851</v>
      </c>
      <c r="F180" s="372"/>
      <c r="G180" s="404" t="s">
        <v>2795</v>
      </c>
    </row>
    <row r="182" spans="1:7">
      <c r="A182" s="354" t="s">
        <v>2486</v>
      </c>
      <c r="B182" s="331"/>
      <c r="C182" s="331"/>
      <c r="D182" s="331"/>
      <c r="E182" s="331"/>
      <c r="F182" s="331"/>
      <c r="G182" s="331"/>
    </row>
    <row r="184" spans="1:7">
      <c r="A184" s="356" t="s">
        <v>2484</v>
      </c>
      <c r="B184" s="356" t="s">
        <v>83</v>
      </c>
      <c r="C184" s="356" t="s">
        <v>84</v>
      </c>
      <c r="D184" s="356" t="s">
        <v>1723</v>
      </c>
      <c r="E184" s="356" t="s">
        <v>2835</v>
      </c>
      <c r="F184" s="356"/>
      <c r="G184" s="356"/>
    </row>
    <row r="185" spans="1:7">
      <c r="A185" s="366" t="s">
        <v>2487</v>
      </c>
      <c r="B185" s="367">
        <v>60</v>
      </c>
      <c r="C185" s="366" t="s">
        <v>2524</v>
      </c>
      <c r="D185" s="366" t="s">
        <v>42</v>
      </c>
      <c r="E185" s="366" t="s">
        <v>2506</v>
      </c>
      <c r="F185" s="366"/>
      <c r="G185" s="366"/>
    </row>
    <row r="186" spans="1:7">
      <c r="A186" s="366" t="s">
        <v>2488</v>
      </c>
      <c r="B186" s="367">
        <v>60</v>
      </c>
      <c r="C186" s="366" t="s">
        <v>2524</v>
      </c>
      <c r="D186" s="366" t="s">
        <v>42</v>
      </c>
      <c r="E186" s="366" t="s">
        <v>2506</v>
      </c>
      <c r="F186" s="366"/>
      <c r="G186" s="366"/>
    </row>
    <row r="187" spans="1:7">
      <c r="A187" s="366" t="s">
        <v>2489</v>
      </c>
      <c r="B187" s="367">
        <v>47274</v>
      </c>
      <c r="C187" s="366" t="s">
        <v>2480</v>
      </c>
      <c r="D187" s="366" t="s">
        <v>42</v>
      </c>
      <c r="E187" s="366" t="s">
        <v>2525</v>
      </c>
      <c r="F187" s="366"/>
      <c r="G187" s="366"/>
    </row>
    <row r="188" spans="1:7">
      <c r="A188" s="366" t="s">
        <v>2838</v>
      </c>
      <c r="B188" s="367">
        <v>5000</v>
      </c>
      <c r="C188" s="366" t="s">
        <v>2498</v>
      </c>
      <c r="D188" s="366" t="s">
        <v>42</v>
      </c>
      <c r="E188" s="366" t="s">
        <v>2506</v>
      </c>
      <c r="F188" s="366" t="s">
        <v>2703</v>
      </c>
      <c r="G188" s="366"/>
    </row>
    <row r="189" spans="1:7">
      <c r="A189" s="366" t="s">
        <v>2526</v>
      </c>
      <c r="B189" s="367">
        <v>300</v>
      </c>
      <c r="C189" s="366" t="s">
        <v>1892</v>
      </c>
      <c r="D189" s="366" t="s">
        <v>2527</v>
      </c>
      <c r="E189" s="366" t="s">
        <v>2852</v>
      </c>
      <c r="F189" s="366" t="s">
        <v>2525</v>
      </c>
      <c r="G189" s="366" t="s">
        <v>2734</v>
      </c>
    </row>
    <row r="190" spans="1:7">
      <c r="A190" s="369"/>
      <c r="B190" s="369"/>
      <c r="C190" s="369"/>
      <c r="D190" s="369"/>
      <c r="E190" s="369"/>
      <c r="F190" s="369"/>
      <c r="G190" s="369"/>
    </row>
    <row r="191" spans="1:7">
      <c r="A191" s="379" t="s">
        <v>2528</v>
      </c>
      <c r="B191" s="378"/>
      <c r="C191" s="378"/>
      <c r="D191" s="378"/>
      <c r="E191" s="378"/>
      <c r="F191" s="378"/>
      <c r="G191" s="378"/>
    </row>
    <row r="192" spans="1:7">
      <c r="A192" s="361" t="s">
        <v>2508</v>
      </c>
      <c r="B192" s="361" t="s">
        <v>83</v>
      </c>
      <c r="C192" s="361" t="s">
        <v>84</v>
      </c>
      <c r="D192" s="361" t="s">
        <v>2509</v>
      </c>
      <c r="E192" s="361" t="s">
        <v>2835</v>
      </c>
      <c r="F192" s="361"/>
      <c r="G192" s="361" t="s">
        <v>2773</v>
      </c>
    </row>
    <row r="193" spans="1:7">
      <c r="A193" s="372" t="s">
        <v>2911</v>
      </c>
      <c r="B193" s="371">
        <v>20</v>
      </c>
      <c r="C193" s="372" t="s">
        <v>2480</v>
      </c>
      <c r="D193" s="372" t="s">
        <v>135</v>
      </c>
      <c r="E193" s="372" t="s">
        <v>2912</v>
      </c>
      <c r="F193" s="372" t="s">
        <v>2704</v>
      </c>
      <c r="G193" s="372" t="s">
        <v>2735</v>
      </c>
    </row>
    <row r="194" spans="1:7">
      <c r="A194" s="372" t="s">
        <v>2827</v>
      </c>
      <c r="B194" s="373">
        <v>6.0999999999999999E-2</v>
      </c>
      <c r="C194" s="372" t="s">
        <v>2828</v>
      </c>
      <c r="D194" s="372" t="s">
        <v>2829</v>
      </c>
      <c r="E194" s="372" t="s">
        <v>2853</v>
      </c>
      <c r="F194" s="422" t="s">
        <v>2972</v>
      </c>
      <c r="G194" s="372"/>
    </row>
    <row r="195" spans="1:7">
      <c r="A195" s="372" t="s">
        <v>2913</v>
      </c>
      <c r="B195" s="371">
        <v>40</v>
      </c>
      <c r="C195" s="372" t="s">
        <v>2480</v>
      </c>
      <c r="D195" s="372" t="s">
        <v>135</v>
      </c>
      <c r="E195" s="372" t="s">
        <v>2914</v>
      </c>
      <c r="F195" s="372" t="s">
        <v>2704</v>
      </c>
      <c r="G195" s="408" t="s">
        <v>2915</v>
      </c>
    </row>
    <row r="196" spans="1:7">
      <c r="A196" s="372" t="s">
        <v>2830</v>
      </c>
      <c r="B196" s="373">
        <v>0.02</v>
      </c>
      <c r="C196" s="372" t="s">
        <v>2828</v>
      </c>
      <c r="D196" s="372" t="s">
        <v>2829</v>
      </c>
      <c r="E196" s="372" t="s">
        <v>2854</v>
      </c>
      <c r="F196" s="422" t="s">
        <v>2972</v>
      </c>
      <c r="G196" s="372"/>
    </row>
    <row r="197" spans="1:7">
      <c r="A197" s="372" t="s">
        <v>2691</v>
      </c>
      <c r="B197" s="402">
        <f>$B$4</f>
        <v>59446</v>
      </c>
      <c r="C197" s="372" t="s">
        <v>2831</v>
      </c>
      <c r="D197" s="372" t="s">
        <v>2637</v>
      </c>
      <c r="E197" s="372" t="s">
        <v>2855</v>
      </c>
      <c r="F197" s="372" t="s">
        <v>2711</v>
      </c>
      <c r="G197" s="372" t="s">
        <v>2916</v>
      </c>
    </row>
    <row r="198" spans="1:7">
      <c r="A198" s="369"/>
      <c r="B198" s="369"/>
      <c r="C198" s="369"/>
      <c r="D198" s="369"/>
      <c r="E198" s="369"/>
      <c r="F198" s="369"/>
      <c r="G198" s="369"/>
    </row>
    <row r="199" spans="1:7">
      <c r="A199" s="376" t="s">
        <v>2832</v>
      </c>
      <c r="B199" s="375">
        <f>B193*B194*B197/$B$8</f>
        <v>68172.6728</v>
      </c>
      <c r="C199" s="376" t="s">
        <v>2499</v>
      </c>
      <c r="D199" s="372"/>
      <c r="E199" s="372" t="s">
        <v>2856</v>
      </c>
      <c r="F199" s="372"/>
      <c r="G199" s="404" t="s">
        <v>2995</v>
      </c>
    </row>
    <row r="200" spans="1:7">
      <c r="A200" s="376" t="s">
        <v>2833</v>
      </c>
      <c r="B200" s="375">
        <f>B195*B196*B197/$B$8</f>
        <v>44703.392000000007</v>
      </c>
      <c r="C200" s="376" t="s">
        <v>2499</v>
      </c>
      <c r="D200" s="372"/>
      <c r="E200" s="372" t="s">
        <v>2857</v>
      </c>
      <c r="F200" s="372"/>
      <c r="G200" s="372"/>
    </row>
    <row r="201" spans="1:7">
      <c r="A201" s="376"/>
      <c r="B201" s="375"/>
      <c r="C201" s="376"/>
      <c r="D201" s="372"/>
      <c r="E201" s="372"/>
      <c r="F201" s="372"/>
      <c r="G201" s="372"/>
    </row>
    <row r="202" spans="1:7">
      <c r="A202" s="405" t="s">
        <v>2917</v>
      </c>
      <c r="B202" s="378"/>
      <c r="C202" s="378"/>
      <c r="D202" s="378"/>
      <c r="E202" s="378"/>
      <c r="F202" s="378"/>
      <c r="G202" s="406" t="s">
        <v>2796</v>
      </c>
    </row>
    <row r="203" spans="1:7">
      <c r="A203" s="377" t="s">
        <v>2508</v>
      </c>
      <c r="B203" s="377" t="s">
        <v>83</v>
      </c>
      <c r="C203" s="377" t="s">
        <v>84</v>
      </c>
      <c r="D203" s="377" t="s">
        <v>2509</v>
      </c>
      <c r="E203" s="377" t="s">
        <v>2835</v>
      </c>
      <c r="F203" s="377"/>
      <c r="G203" s="377" t="s">
        <v>2773</v>
      </c>
    </row>
    <row r="204" spans="1:7">
      <c r="A204" s="372" t="s">
        <v>2532</v>
      </c>
      <c r="B204" s="371">
        <v>120</v>
      </c>
      <c r="C204" s="372" t="s">
        <v>104</v>
      </c>
      <c r="D204" s="372" t="s">
        <v>2527</v>
      </c>
      <c r="E204" s="372" t="s">
        <v>2533</v>
      </c>
      <c r="F204" s="372" t="s">
        <v>3108</v>
      </c>
      <c r="G204" s="372"/>
    </row>
    <row r="205" spans="1:7">
      <c r="A205" s="372" t="s">
        <v>2534</v>
      </c>
      <c r="B205" s="374">
        <v>1.5</v>
      </c>
      <c r="C205" s="372" t="s">
        <v>2535</v>
      </c>
      <c r="D205" s="372" t="s">
        <v>2536</v>
      </c>
      <c r="E205" s="372" t="s">
        <v>2858</v>
      </c>
      <c r="F205" s="372"/>
      <c r="G205" s="372" t="s">
        <v>2736</v>
      </c>
    </row>
    <row r="206" spans="1:7">
      <c r="A206" s="376" t="s">
        <v>2537</v>
      </c>
      <c r="B206" s="375">
        <f>B186*B204*B205</f>
        <v>10800</v>
      </c>
      <c r="C206" s="376" t="s">
        <v>2499</v>
      </c>
      <c r="D206" s="372"/>
      <c r="E206" s="388" t="s">
        <v>2822</v>
      </c>
      <c r="F206" s="388"/>
      <c r="G206" s="372" t="s">
        <v>2823</v>
      </c>
    </row>
    <row r="207" spans="1:7">
      <c r="A207" s="369"/>
      <c r="B207" s="369"/>
      <c r="C207" s="369"/>
      <c r="D207" s="369"/>
      <c r="E207" s="369"/>
      <c r="F207" s="369"/>
      <c r="G207" s="369"/>
    </row>
    <row r="208" spans="1:7">
      <c r="A208" s="379" t="s">
        <v>2538</v>
      </c>
      <c r="B208" s="378"/>
      <c r="C208" s="378"/>
      <c r="D208" s="378"/>
      <c r="E208" s="378"/>
      <c r="F208" s="378"/>
      <c r="G208" s="378"/>
    </row>
    <row r="209" spans="1:7">
      <c r="A209" s="377" t="s">
        <v>2508</v>
      </c>
      <c r="B209" s="377" t="s">
        <v>83</v>
      </c>
      <c r="C209" s="377" t="s">
        <v>84</v>
      </c>
      <c r="D209" s="377" t="s">
        <v>2509</v>
      </c>
      <c r="E209" s="377" t="s">
        <v>2835</v>
      </c>
      <c r="F209" s="377"/>
      <c r="G209" s="377" t="s">
        <v>2773</v>
      </c>
    </row>
    <row r="210" spans="1:7">
      <c r="A210" s="372" t="s">
        <v>2539</v>
      </c>
      <c r="B210" s="374">
        <v>5</v>
      </c>
      <c r="C210" s="372" t="s">
        <v>2540</v>
      </c>
      <c r="D210" s="372" t="s">
        <v>2519</v>
      </c>
      <c r="E210" s="372" t="s">
        <v>2859</v>
      </c>
      <c r="F210" s="422" t="s">
        <v>2712</v>
      </c>
      <c r="G210" s="372" t="s">
        <v>2737</v>
      </c>
    </row>
    <row r="211" spans="1:7">
      <c r="A211" s="372" t="s">
        <v>2541</v>
      </c>
      <c r="B211" s="381">
        <f>B187/2.5</f>
        <v>18909.599999999999</v>
      </c>
      <c r="C211" s="372" t="s">
        <v>2542</v>
      </c>
      <c r="D211" s="372" t="s">
        <v>2531</v>
      </c>
      <c r="E211" s="372" t="s">
        <v>2543</v>
      </c>
      <c r="F211" s="372"/>
      <c r="G211" s="408" t="s">
        <v>2803</v>
      </c>
    </row>
    <row r="212" spans="1:7">
      <c r="A212" s="372" t="s">
        <v>2544</v>
      </c>
      <c r="B212" s="380">
        <v>0.4</v>
      </c>
      <c r="C212" s="372" t="s">
        <v>2530</v>
      </c>
      <c r="D212" s="372" t="s">
        <v>2527</v>
      </c>
      <c r="E212" s="372" t="s">
        <v>2918</v>
      </c>
      <c r="F212" s="372"/>
      <c r="G212" s="372"/>
    </row>
    <row r="213" spans="1:7">
      <c r="A213" s="369"/>
      <c r="B213" s="369"/>
      <c r="C213" s="369"/>
      <c r="D213" s="369"/>
      <c r="E213" s="369"/>
      <c r="F213" s="369"/>
      <c r="G213" s="369"/>
    </row>
    <row r="214" spans="1:7">
      <c r="A214" s="376" t="s">
        <v>2545</v>
      </c>
      <c r="B214" s="375">
        <f>B210*B211*B212</f>
        <v>37819.200000000004</v>
      </c>
      <c r="C214" s="376" t="s">
        <v>2499</v>
      </c>
      <c r="D214" s="372"/>
      <c r="E214" s="372" t="s">
        <v>2860</v>
      </c>
      <c r="F214" s="372"/>
      <c r="G214" s="372"/>
    </row>
    <row r="216" spans="1:7">
      <c r="A216" s="354" t="s">
        <v>2490</v>
      </c>
      <c r="B216" s="331"/>
      <c r="C216" s="331"/>
      <c r="D216" s="331"/>
      <c r="E216" s="331"/>
      <c r="F216" s="331"/>
      <c r="G216" s="331"/>
    </row>
    <row r="218" spans="1:7">
      <c r="A218" s="356" t="s">
        <v>2484</v>
      </c>
      <c r="B218" s="356" t="s">
        <v>83</v>
      </c>
      <c r="C218" s="356" t="s">
        <v>84</v>
      </c>
      <c r="D218" s="356" t="s">
        <v>1723</v>
      </c>
      <c r="E218" s="356" t="s">
        <v>2835</v>
      </c>
      <c r="F218" s="356"/>
      <c r="G218" s="356"/>
    </row>
    <row r="219" spans="1:7">
      <c r="A219" s="366" t="s">
        <v>2491</v>
      </c>
      <c r="B219" s="367">
        <v>100</v>
      </c>
      <c r="C219" s="366" t="s">
        <v>2492</v>
      </c>
      <c r="D219" s="366" t="s">
        <v>42</v>
      </c>
      <c r="E219" s="366" t="s">
        <v>2506</v>
      </c>
      <c r="F219" s="366"/>
      <c r="G219" s="366"/>
    </row>
    <row r="220" spans="1:7">
      <c r="A220" s="366" t="s">
        <v>2546</v>
      </c>
      <c r="B220" s="367">
        <v>30</v>
      </c>
      <c r="C220" s="366" t="s">
        <v>104</v>
      </c>
      <c r="D220" s="366" t="s">
        <v>2547</v>
      </c>
      <c r="E220" s="366" t="s">
        <v>2861</v>
      </c>
      <c r="F220" s="366"/>
      <c r="G220" s="366" t="s">
        <v>2738</v>
      </c>
    </row>
    <row r="221" spans="1:7">
      <c r="A221" s="366" t="s">
        <v>2548</v>
      </c>
      <c r="B221" s="367">
        <f>B219*B220</f>
        <v>3000</v>
      </c>
      <c r="C221" s="366" t="s">
        <v>2493</v>
      </c>
      <c r="D221" s="366" t="s">
        <v>2531</v>
      </c>
      <c r="E221" s="366" t="s">
        <v>2549</v>
      </c>
      <c r="F221" s="366"/>
      <c r="G221" s="366"/>
    </row>
    <row r="222" spans="1:7">
      <c r="A222" s="366" t="s">
        <v>2550</v>
      </c>
      <c r="B222" s="367">
        <f>B219*B220</f>
        <v>3000</v>
      </c>
      <c r="C222" s="366" t="s">
        <v>2493</v>
      </c>
      <c r="D222" s="366" t="s">
        <v>42</v>
      </c>
      <c r="E222" s="366" t="s">
        <v>2551</v>
      </c>
      <c r="F222" s="366" t="s">
        <v>2703</v>
      </c>
      <c r="G222" s="366"/>
    </row>
    <row r="223" spans="1:7">
      <c r="A223" s="366" t="s">
        <v>2552</v>
      </c>
      <c r="B223" s="367">
        <f>200*50</f>
        <v>10000</v>
      </c>
      <c r="C223" s="366" t="s">
        <v>2493</v>
      </c>
      <c r="D223" s="366" t="s">
        <v>42</v>
      </c>
      <c r="E223" s="366" t="s">
        <v>2553</v>
      </c>
      <c r="F223" s="366" t="s">
        <v>2704</v>
      </c>
      <c r="G223" s="408" t="s">
        <v>2804</v>
      </c>
    </row>
    <row r="224" spans="1:7">
      <c r="A224" s="369"/>
      <c r="B224" s="369"/>
      <c r="C224" s="369"/>
      <c r="D224" s="369"/>
      <c r="E224" s="369"/>
      <c r="F224" s="369"/>
      <c r="G224" s="369"/>
    </row>
    <row r="225" spans="1:7">
      <c r="A225" s="358" t="s">
        <v>2554</v>
      </c>
      <c r="B225" s="359"/>
      <c r="C225" s="359"/>
      <c r="D225" s="359"/>
      <c r="E225" s="359"/>
      <c r="F225" s="359"/>
      <c r="G225" s="359"/>
    </row>
    <row r="226" spans="1:7">
      <c r="A226" s="377" t="s">
        <v>2508</v>
      </c>
      <c r="B226" s="377" t="s">
        <v>83</v>
      </c>
      <c r="C226" s="377" t="s">
        <v>84</v>
      </c>
      <c r="D226" s="377" t="s">
        <v>2509</v>
      </c>
      <c r="E226" s="377" t="s">
        <v>2835</v>
      </c>
      <c r="F226" s="377"/>
      <c r="G226" s="377" t="s">
        <v>2773</v>
      </c>
    </row>
    <row r="227" spans="1:7">
      <c r="A227" s="372" t="s">
        <v>2555</v>
      </c>
      <c r="B227" s="374">
        <v>8</v>
      </c>
      <c r="C227" s="372" t="s">
        <v>2556</v>
      </c>
      <c r="D227" s="372" t="s">
        <v>2557</v>
      </c>
      <c r="E227" s="372" t="s">
        <v>2862</v>
      </c>
      <c r="F227" s="372" t="s">
        <v>2704</v>
      </c>
      <c r="G227" s="372" t="s">
        <v>2739</v>
      </c>
    </row>
    <row r="228" spans="1:7">
      <c r="A228" s="372" t="s">
        <v>2778</v>
      </c>
      <c r="B228" s="403">
        <f>$B$4</f>
        <v>59446</v>
      </c>
      <c r="C228" s="372" t="s">
        <v>87</v>
      </c>
      <c r="D228" s="372" t="s">
        <v>2558</v>
      </c>
      <c r="E228" s="372" t="s">
        <v>2559</v>
      </c>
      <c r="F228" s="372"/>
      <c r="G228" s="372" t="s">
        <v>2740</v>
      </c>
    </row>
    <row r="229" spans="1:7">
      <c r="A229" s="372" t="s">
        <v>2560</v>
      </c>
      <c r="B229" s="373">
        <v>5.0999999999999997E-2</v>
      </c>
      <c r="C229" s="372" t="s">
        <v>2561</v>
      </c>
      <c r="D229" s="372" t="s">
        <v>2562</v>
      </c>
      <c r="E229" s="372" t="s">
        <v>2863</v>
      </c>
      <c r="F229" s="422" t="s">
        <v>2710</v>
      </c>
      <c r="G229" s="372" t="s">
        <v>2741</v>
      </c>
    </row>
    <row r="230" spans="1:7">
      <c r="A230" s="372" t="s">
        <v>2563</v>
      </c>
      <c r="B230" s="380">
        <v>0.6</v>
      </c>
      <c r="C230" s="372" t="s">
        <v>2530</v>
      </c>
      <c r="D230" s="372" t="s">
        <v>2527</v>
      </c>
      <c r="E230" s="372" t="s">
        <v>2864</v>
      </c>
      <c r="F230" s="372"/>
      <c r="G230" s="372"/>
    </row>
    <row r="231" spans="1:7">
      <c r="A231" s="372" t="s">
        <v>2564</v>
      </c>
      <c r="B231" s="382">
        <f>1/365</f>
        <v>2.7397260273972603E-3</v>
      </c>
      <c r="C231" s="372" t="s">
        <v>2565</v>
      </c>
      <c r="D231" s="372" t="s">
        <v>2531</v>
      </c>
      <c r="E231" s="372" t="s">
        <v>2566</v>
      </c>
      <c r="F231" s="372"/>
      <c r="G231" s="372"/>
    </row>
    <row r="232" spans="1:7">
      <c r="A232" s="372" t="s">
        <v>2567</v>
      </c>
      <c r="B232" s="381">
        <f>B221+B222</f>
        <v>6000</v>
      </c>
      <c r="C232" s="372" t="s">
        <v>2493</v>
      </c>
      <c r="D232" s="372" t="s">
        <v>2531</v>
      </c>
      <c r="E232" s="388" t="s">
        <v>2865</v>
      </c>
      <c r="F232" s="388"/>
      <c r="G232" s="372"/>
    </row>
    <row r="233" spans="1:7">
      <c r="A233" s="369"/>
      <c r="B233" s="369"/>
      <c r="C233" s="369"/>
      <c r="D233" s="369"/>
      <c r="E233" s="369"/>
      <c r="F233" s="369"/>
      <c r="G233" s="369"/>
    </row>
    <row r="234" spans="1:7">
      <c r="A234" s="376" t="s">
        <v>2568</v>
      </c>
      <c r="B234" s="375">
        <f>B232*B227</f>
        <v>48000</v>
      </c>
      <c r="C234" s="376" t="s">
        <v>2499</v>
      </c>
      <c r="D234" s="372"/>
      <c r="E234" s="372" t="s">
        <v>2866</v>
      </c>
      <c r="F234" s="372"/>
      <c r="G234" s="372"/>
    </row>
    <row r="235" spans="1:7">
      <c r="A235" s="376" t="s">
        <v>2569</v>
      </c>
      <c r="B235" s="383">
        <f>B232*B230*B229*B231</f>
        <v>0.50301369863013701</v>
      </c>
      <c r="C235" s="376" t="s">
        <v>2570</v>
      </c>
      <c r="D235" s="372"/>
      <c r="E235" s="372" t="s">
        <v>2867</v>
      </c>
      <c r="F235" s="372"/>
      <c r="G235" s="372"/>
    </row>
    <row r="236" spans="1:7">
      <c r="A236" s="376" t="s">
        <v>2571</v>
      </c>
      <c r="B236" s="375">
        <f>B235*$B$4/$B$8</f>
        <v>28108.023189041098</v>
      </c>
      <c r="C236" s="376" t="s">
        <v>2499</v>
      </c>
      <c r="D236" s="372"/>
      <c r="E236" s="372" t="s">
        <v>2868</v>
      </c>
      <c r="F236" s="372"/>
      <c r="G236" s="372" t="s">
        <v>2779</v>
      </c>
    </row>
    <row r="237" spans="1:7">
      <c r="A237" s="376" t="s">
        <v>2839</v>
      </c>
      <c r="B237" s="412">
        <v>75</v>
      </c>
      <c r="C237" s="376" t="s">
        <v>2480</v>
      </c>
      <c r="D237" s="372" t="s">
        <v>2527</v>
      </c>
      <c r="E237" s="372" t="s">
        <v>2869</v>
      </c>
      <c r="F237" s="372" t="s">
        <v>2704</v>
      </c>
      <c r="G237" s="372"/>
    </row>
    <row r="238" spans="1:7">
      <c r="A238" s="376" t="s">
        <v>2840</v>
      </c>
      <c r="B238" s="411">
        <v>700</v>
      </c>
      <c r="C238" s="376" t="s">
        <v>2529</v>
      </c>
      <c r="D238" s="372" t="s">
        <v>2841</v>
      </c>
      <c r="E238" s="372" t="s">
        <v>2870</v>
      </c>
      <c r="F238" s="422" t="s">
        <v>2842</v>
      </c>
      <c r="G238" s="372"/>
    </row>
    <row r="239" spans="1:7">
      <c r="A239" s="376" t="s">
        <v>2843</v>
      </c>
      <c r="B239" s="375">
        <f>B237*B238</f>
        <v>52500</v>
      </c>
      <c r="C239" s="376" t="s">
        <v>2499</v>
      </c>
      <c r="D239" s="372"/>
      <c r="E239" s="372" t="s">
        <v>2871</v>
      </c>
      <c r="F239" s="372"/>
      <c r="G239" s="372"/>
    </row>
    <row r="240" spans="1:7">
      <c r="A240" s="369"/>
      <c r="B240" s="369"/>
      <c r="C240" s="369"/>
      <c r="D240" s="369"/>
      <c r="E240" s="369"/>
      <c r="F240" s="369"/>
      <c r="G240" s="369"/>
    </row>
    <row r="241" spans="1:7">
      <c r="A241" s="379" t="s">
        <v>2677</v>
      </c>
      <c r="B241" s="378"/>
      <c r="C241" s="378"/>
      <c r="D241" s="378"/>
      <c r="E241" s="378"/>
      <c r="F241" s="378"/>
      <c r="G241" s="378"/>
    </row>
    <row r="242" spans="1:7">
      <c r="A242" s="377" t="s">
        <v>2508</v>
      </c>
      <c r="B242" s="377" t="s">
        <v>83</v>
      </c>
      <c r="C242" s="377" t="s">
        <v>84</v>
      </c>
      <c r="D242" s="377" t="s">
        <v>2509</v>
      </c>
      <c r="E242" s="377" t="s">
        <v>2835</v>
      </c>
      <c r="F242" s="377"/>
      <c r="G242" s="377" t="s">
        <v>2773</v>
      </c>
    </row>
    <row r="243" spans="1:7">
      <c r="A243" s="372" t="s">
        <v>2572</v>
      </c>
      <c r="B243" s="374">
        <v>5</v>
      </c>
      <c r="C243" s="372" t="s">
        <v>2556</v>
      </c>
      <c r="D243" s="372" t="s">
        <v>2573</v>
      </c>
      <c r="E243" s="372" t="s">
        <v>2678</v>
      </c>
      <c r="F243" s="372" t="s">
        <v>2704</v>
      </c>
      <c r="G243" s="372"/>
    </row>
    <row r="244" spans="1:7">
      <c r="A244" s="372" t="s">
        <v>2574</v>
      </c>
      <c r="B244" s="384">
        <f>B227-B243</f>
        <v>3</v>
      </c>
      <c r="C244" s="372" t="s">
        <v>2556</v>
      </c>
      <c r="D244" s="372" t="s">
        <v>2520</v>
      </c>
      <c r="E244" s="372" t="s">
        <v>2575</v>
      </c>
      <c r="F244" s="372"/>
      <c r="G244" s="372"/>
    </row>
    <row r="245" spans="1:7">
      <c r="A245" s="369"/>
      <c r="B245" s="369"/>
      <c r="C245" s="369"/>
      <c r="D245" s="369"/>
      <c r="E245" s="369"/>
      <c r="F245" s="369"/>
      <c r="G245" s="369"/>
    </row>
    <row r="246" spans="1:7">
      <c r="A246" s="376" t="s">
        <v>2576</v>
      </c>
      <c r="B246" s="375">
        <f>B223*B244</f>
        <v>30000</v>
      </c>
      <c r="C246" s="376" t="s">
        <v>2499</v>
      </c>
      <c r="D246" s="372"/>
      <c r="E246" s="372" t="s">
        <v>2577</v>
      </c>
      <c r="F246" s="372"/>
      <c r="G246" s="372"/>
    </row>
    <row r="247" spans="1:7">
      <c r="A247" s="369"/>
      <c r="B247" s="369"/>
      <c r="C247" s="369"/>
      <c r="D247" s="369"/>
      <c r="E247" s="369"/>
      <c r="F247" s="369"/>
      <c r="G247" s="369"/>
    </row>
    <row r="248" spans="1:7">
      <c r="A248" s="379" t="s">
        <v>2919</v>
      </c>
      <c r="B248" s="378"/>
      <c r="C248" s="378"/>
      <c r="D248" s="378"/>
      <c r="E248" s="378"/>
      <c r="F248" s="378"/>
      <c r="G248" s="378"/>
    </row>
    <row r="249" spans="1:7">
      <c r="A249" s="377" t="s">
        <v>2508</v>
      </c>
      <c r="B249" s="377" t="s">
        <v>83</v>
      </c>
      <c r="C249" s="377" t="s">
        <v>84</v>
      </c>
      <c r="D249" s="377" t="s">
        <v>2509</v>
      </c>
      <c r="E249" s="377" t="s">
        <v>2835</v>
      </c>
      <c r="F249" s="377" t="s">
        <v>2701</v>
      </c>
      <c r="G249" s="377" t="s">
        <v>2773</v>
      </c>
    </row>
    <row r="250" spans="1:7">
      <c r="A250" s="372" t="s">
        <v>2721</v>
      </c>
      <c r="B250" s="371">
        <v>10</v>
      </c>
      <c r="C250" s="372" t="s">
        <v>2480</v>
      </c>
      <c r="D250" s="372" t="s">
        <v>135</v>
      </c>
      <c r="E250" s="372" t="s">
        <v>2704</v>
      </c>
      <c r="F250" s="372"/>
      <c r="G250" s="372"/>
    </row>
    <row r="251" spans="1:7">
      <c r="A251" s="372" t="s">
        <v>2722</v>
      </c>
      <c r="B251" s="371">
        <v>4</v>
      </c>
      <c r="C251" s="372" t="s">
        <v>2723</v>
      </c>
      <c r="D251" s="372" t="s">
        <v>135</v>
      </c>
      <c r="E251" s="372" t="s">
        <v>2872</v>
      </c>
      <c r="F251" s="372"/>
      <c r="G251" s="372" t="s">
        <v>2742</v>
      </c>
    </row>
    <row r="252" spans="1:7">
      <c r="A252" s="372" t="s">
        <v>2724</v>
      </c>
      <c r="B252" s="381">
        <f>52+B220</f>
        <v>82</v>
      </c>
      <c r="C252" s="372" t="s">
        <v>2725</v>
      </c>
      <c r="D252" s="372" t="s">
        <v>2531</v>
      </c>
      <c r="E252" s="372" t="s">
        <v>2873</v>
      </c>
      <c r="F252" s="372"/>
      <c r="G252" s="408" t="s">
        <v>2805</v>
      </c>
    </row>
    <row r="253" spans="1:7">
      <c r="A253" s="372" t="s">
        <v>2726</v>
      </c>
      <c r="B253" s="398">
        <v>10</v>
      </c>
      <c r="C253" s="372" t="s">
        <v>2631</v>
      </c>
      <c r="D253" s="372" t="s">
        <v>2632</v>
      </c>
      <c r="E253" s="372" t="s">
        <v>2874</v>
      </c>
      <c r="F253" s="372"/>
      <c r="G253" s="372" t="s">
        <v>2743</v>
      </c>
    </row>
    <row r="254" spans="1:7">
      <c r="A254" s="369"/>
      <c r="B254" s="369"/>
      <c r="C254" s="369"/>
      <c r="D254" s="369"/>
      <c r="E254" s="369"/>
      <c r="F254" s="369"/>
      <c r="G254" s="369"/>
    </row>
    <row r="255" spans="1:7">
      <c r="A255" s="376" t="s">
        <v>2727</v>
      </c>
      <c r="B255" s="375">
        <f>B250*B251*B252*B253</f>
        <v>32800</v>
      </c>
      <c r="C255" s="376" t="s">
        <v>2499</v>
      </c>
      <c r="D255" s="372"/>
      <c r="E255" s="372" t="s">
        <v>2875</v>
      </c>
      <c r="F255" s="372"/>
      <c r="G255" s="372"/>
    </row>
    <row r="256" spans="1:7">
      <c r="A256" s="369"/>
      <c r="B256" s="369"/>
      <c r="C256" s="369"/>
      <c r="D256" s="369"/>
      <c r="E256" s="369"/>
      <c r="F256" s="369"/>
      <c r="G256" s="369"/>
    </row>
    <row r="257" spans="1:7">
      <c r="A257" s="369"/>
      <c r="B257" s="369"/>
      <c r="C257" s="369"/>
      <c r="D257" s="369"/>
      <c r="E257" s="369"/>
      <c r="F257" s="369"/>
      <c r="G257" s="369"/>
    </row>
    <row r="258" spans="1:7">
      <c r="A258" s="379" t="s">
        <v>2578</v>
      </c>
      <c r="B258" s="378"/>
      <c r="C258" s="378"/>
      <c r="D258" s="378"/>
      <c r="E258" s="378"/>
      <c r="F258" s="378"/>
      <c r="G258" s="378"/>
    </row>
    <row r="259" spans="1:7">
      <c r="A259" s="377" t="s">
        <v>2508</v>
      </c>
      <c r="B259" s="377" t="s">
        <v>83</v>
      </c>
      <c r="C259" s="377" t="s">
        <v>84</v>
      </c>
      <c r="D259" s="377" t="s">
        <v>2509</v>
      </c>
      <c r="E259" s="377" t="s">
        <v>2835</v>
      </c>
      <c r="F259" s="377"/>
      <c r="G259" s="377" t="s">
        <v>2773</v>
      </c>
    </row>
    <row r="260" spans="1:7">
      <c r="A260" s="372" t="s">
        <v>2806</v>
      </c>
      <c r="B260" s="371">
        <v>70</v>
      </c>
      <c r="C260" s="372" t="s">
        <v>2480</v>
      </c>
      <c r="D260" s="372" t="s">
        <v>2807</v>
      </c>
      <c r="E260" s="372" t="s">
        <v>2876</v>
      </c>
      <c r="F260" s="372"/>
      <c r="G260" s="404" t="s">
        <v>2808</v>
      </c>
    </row>
    <row r="261" spans="1:7">
      <c r="A261" s="372" t="s">
        <v>2809</v>
      </c>
      <c r="B261" s="371">
        <v>25</v>
      </c>
      <c r="C261" s="372" t="s">
        <v>104</v>
      </c>
      <c r="D261" s="372" t="s">
        <v>2527</v>
      </c>
      <c r="E261" s="372" t="s">
        <v>2810</v>
      </c>
      <c r="F261" s="422" t="s">
        <v>2972</v>
      </c>
      <c r="G261" s="404" t="s">
        <v>2811</v>
      </c>
    </row>
    <row r="262" spans="1:7">
      <c r="A262" s="372" t="s">
        <v>2812</v>
      </c>
      <c r="B262" s="371">
        <f>(B219-B260)*B220/2</f>
        <v>450</v>
      </c>
      <c r="C262" s="372" t="s">
        <v>2813</v>
      </c>
      <c r="D262" s="372" t="s">
        <v>2531</v>
      </c>
      <c r="E262" s="372" t="s">
        <v>2877</v>
      </c>
      <c r="F262" s="372"/>
      <c r="G262" s="404" t="s">
        <v>2814</v>
      </c>
    </row>
    <row r="263" spans="1:7">
      <c r="A263" s="372" t="s">
        <v>2815</v>
      </c>
      <c r="B263" s="371">
        <v>2</v>
      </c>
      <c r="C263" s="372" t="s">
        <v>104</v>
      </c>
      <c r="D263" s="372" t="s">
        <v>2527</v>
      </c>
      <c r="E263" s="372" t="s">
        <v>2816</v>
      </c>
      <c r="F263" s="372"/>
      <c r="G263" s="404" t="s">
        <v>2817</v>
      </c>
    </row>
    <row r="264" spans="1:7">
      <c r="A264" s="372" t="s">
        <v>2692</v>
      </c>
      <c r="B264" s="373">
        <v>0.14499999999999999</v>
      </c>
      <c r="C264" s="372" t="s">
        <v>2561</v>
      </c>
      <c r="D264" s="372" t="s">
        <v>2562</v>
      </c>
      <c r="E264" s="372" t="s">
        <v>2878</v>
      </c>
      <c r="F264" s="422" t="s">
        <v>2710</v>
      </c>
      <c r="G264" s="372" t="s">
        <v>2744</v>
      </c>
    </row>
    <row r="265" spans="1:7">
      <c r="A265" s="372" t="s">
        <v>2693</v>
      </c>
      <c r="B265" s="373">
        <v>8.2000000000000003E-2</v>
      </c>
      <c r="C265" s="372" t="s">
        <v>2690</v>
      </c>
      <c r="D265" s="372" t="s">
        <v>2531</v>
      </c>
      <c r="E265" s="372" t="s">
        <v>2879</v>
      </c>
      <c r="F265" s="372"/>
      <c r="G265" s="372" t="s">
        <v>2745</v>
      </c>
    </row>
    <row r="266" spans="1:7">
      <c r="A266" s="376" t="s">
        <v>2694</v>
      </c>
      <c r="B266" s="375">
        <f>(B260*B264*(B261/365) + B262*B264*(B263/365))*$B$4/$B$8</f>
        <v>58826.295808219176</v>
      </c>
      <c r="C266" s="376" t="s">
        <v>2499</v>
      </c>
      <c r="D266" s="372"/>
      <c r="E266" s="372" t="s">
        <v>2880</v>
      </c>
      <c r="F266" s="372"/>
      <c r="G266" s="404" t="s">
        <v>2818</v>
      </c>
    </row>
    <row r="268" spans="1:7">
      <c r="A268" s="354" t="s">
        <v>2494</v>
      </c>
      <c r="B268" s="331"/>
      <c r="C268" s="331"/>
      <c r="D268" s="331"/>
      <c r="E268" s="331"/>
      <c r="F268" s="331"/>
      <c r="G268" s="331"/>
    </row>
    <row r="270" spans="1:7">
      <c r="A270" s="356" t="s">
        <v>2484</v>
      </c>
      <c r="B270" s="356" t="s">
        <v>83</v>
      </c>
      <c r="C270" s="356" t="s">
        <v>84</v>
      </c>
      <c r="D270" s="356" t="s">
        <v>1723</v>
      </c>
      <c r="E270" s="356" t="s">
        <v>2835</v>
      </c>
      <c r="F270" s="356"/>
      <c r="G270" s="356" t="s">
        <v>2773</v>
      </c>
    </row>
    <row r="271" spans="1:7">
      <c r="A271" s="355" t="s">
        <v>2579</v>
      </c>
      <c r="B271" s="357">
        <v>15</v>
      </c>
      <c r="C271" s="355" t="s">
        <v>2495</v>
      </c>
      <c r="D271" s="355" t="s">
        <v>42</v>
      </c>
      <c r="E271" s="355" t="s">
        <v>2506</v>
      </c>
      <c r="F271" s="355"/>
      <c r="G271" s="355"/>
    </row>
    <row r="272" spans="1:7">
      <c r="A272" s="355" t="s">
        <v>2580</v>
      </c>
      <c r="B272" s="357">
        <v>200</v>
      </c>
      <c r="C272" s="355" t="s">
        <v>2581</v>
      </c>
      <c r="D272" s="355" t="s">
        <v>2527</v>
      </c>
      <c r="E272" s="355" t="s">
        <v>2506</v>
      </c>
      <c r="F272" s="355"/>
      <c r="G272" s="355"/>
    </row>
    <row r="273" spans="1:7">
      <c r="A273" s="355" t="s">
        <v>2582</v>
      </c>
      <c r="B273" s="357">
        <v>60</v>
      </c>
      <c r="C273" s="355" t="s">
        <v>2496</v>
      </c>
      <c r="D273" s="355" t="s">
        <v>42</v>
      </c>
      <c r="E273" s="355" t="s">
        <v>2506</v>
      </c>
      <c r="F273" s="355"/>
      <c r="G273" s="355"/>
    </row>
    <row r="274" spans="1:7">
      <c r="A274" s="369"/>
      <c r="B274" s="369"/>
      <c r="C274" s="369"/>
      <c r="D274" s="369"/>
      <c r="E274" s="369"/>
      <c r="F274" s="369" t="s">
        <v>2703</v>
      </c>
      <c r="G274" s="369"/>
    </row>
    <row r="275" spans="1:7">
      <c r="A275" s="379" t="s">
        <v>2583</v>
      </c>
      <c r="B275" s="378"/>
      <c r="C275" s="378"/>
      <c r="D275" s="378"/>
      <c r="E275" s="378"/>
      <c r="F275" s="378"/>
      <c r="G275" s="378"/>
    </row>
    <row r="276" spans="1:7">
      <c r="A276" s="377" t="s">
        <v>2508</v>
      </c>
      <c r="B276" s="377" t="s">
        <v>83</v>
      </c>
      <c r="C276" s="377" t="s">
        <v>84</v>
      </c>
      <c r="D276" s="377" t="s">
        <v>2509</v>
      </c>
      <c r="E276" s="377" t="s">
        <v>2835</v>
      </c>
      <c r="F276" s="377"/>
      <c r="G276" s="377" t="s">
        <v>2773</v>
      </c>
    </row>
    <row r="277" spans="1:7">
      <c r="A277" s="360" t="s">
        <v>2584</v>
      </c>
      <c r="B277" s="363">
        <v>12</v>
      </c>
      <c r="C277" s="360" t="s">
        <v>2585</v>
      </c>
      <c r="D277" s="360" t="s">
        <v>2586</v>
      </c>
      <c r="E277" s="360" t="s">
        <v>2881</v>
      </c>
      <c r="F277" s="360" t="s">
        <v>2704</v>
      </c>
      <c r="G277" s="360" t="s">
        <v>2746</v>
      </c>
    </row>
    <row r="278" spans="1:7">
      <c r="A278" s="372" t="s">
        <v>2587</v>
      </c>
      <c r="B278" s="381">
        <f>B271*B272</f>
        <v>3000</v>
      </c>
      <c r="C278" s="372" t="s">
        <v>2588</v>
      </c>
      <c r="D278" s="372" t="s">
        <v>2531</v>
      </c>
      <c r="E278" s="372" t="s">
        <v>2882</v>
      </c>
      <c r="F278" s="372"/>
      <c r="G278" s="372"/>
    </row>
    <row r="279" spans="1:7">
      <c r="A279" s="369"/>
      <c r="B279" s="369"/>
      <c r="C279" s="369"/>
      <c r="D279" s="369"/>
      <c r="E279" s="369"/>
      <c r="F279" s="369"/>
      <c r="G279" s="369"/>
    </row>
    <row r="280" spans="1:7">
      <c r="A280" s="376" t="s">
        <v>2589</v>
      </c>
      <c r="B280" s="375">
        <f>B278*B277</f>
        <v>36000</v>
      </c>
      <c r="C280" s="376" t="s">
        <v>2499</v>
      </c>
      <c r="D280" s="372"/>
      <c r="E280" s="372" t="s">
        <v>2883</v>
      </c>
      <c r="F280" s="372"/>
      <c r="G280" s="372"/>
    </row>
    <row r="281" spans="1:7">
      <c r="A281" s="369"/>
      <c r="B281" s="369"/>
      <c r="C281" s="369"/>
      <c r="D281" s="369"/>
      <c r="E281" s="369"/>
      <c r="F281" s="369"/>
      <c r="G281" s="369"/>
    </row>
    <row r="282" spans="1:7">
      <c r="A282" s="379" t="s">
        <v>2590</v>
      </c>
      <c r="B282" s="378"/>
      <c r="C282" s="378"/>
      <c r="D282" s="378"/>
      <c r="E282" s="378"/>
      <c r="F282" s="378"/>
      <c r="G282" s="378"/>
    </row>
    <row r="283" spans="1:7">
      <c r="A283" s="377" t="s">
        <v>2508</v>
      </c>
      <c r="B283" s="377" t="s">
        <v>83</v>
      </c>
      <c r="C283" s="377" t="s">
        <v>84</v>
      </c>
      <c r="D283" s="377" t="s">
        <v>2509</v>
      </c>
      <c r="E283" s="377" t="s">
        <v>2835</v>
      </c>
      <c r="F283" s="377"/>
      <c r="G283" s="377" t="s">
        <v>2773</v>
      </c>
    </row>
    <row r="284" spans="1:7">
      <c r="A284" s="372" t="s">
        <v>2591</v>
      </c>
      <c r="B284" s="371">
        <v>200</v>
      </c>
      <c r="C284" s="372" t="s">
        <v>2592</v>
      </c>
      <c r="D284" s="372" t="s">
        <v>2557</v>
      </c>
      <c r="E284" s="372" t="s">
        <v>2884</v>
      </c>
      <c r="F284" s="372" t="s">
        <v>2713</v>
      </c>
      <c r="G284" s="372" t="s">
        <v>2747</v>
      </c>
    </row>
    <row r="285" spans="1:7">
      <c r="A285" s="372" t="s">
        <v>2593</v>
      </c>
      <c r="B285" s="371">
        <v>4</v>
      </c>
      <c r="C285" s="372" t="s">
        <v>2594</v>
      </c>
      <c r="D285" s="372" t="s">
        <v>2527</v>
      </c>
      <c r="E285" s="372" t="s">
        <v>2885</v>
      </c>
      <c r="F285" s="372"/>
      <c r="G285" s="372" t="s">
        <v>2748</v>
      </c>
    </row>
    <row r="286" spans="1:7">
      <c r="A286" s="369"/>
      <c r="B286" s="369"/>
      <c r="C286" s="369"/>
      <c r="D286" s="369"/>
      <c r="E286" s="369"/>
      <c r="F286" s="369"/>
      <c r="G286" s="369"/>
    </row>
    <row r="287" spans="1:7">
      <c r="A287" s="376" t="s">
        <v>2595</v>
      </c>
      <c r="B287" s="375">
        <f>B273*B285*B284</f>
        <v>48000</v>
      </c>
      <c r="C287" s="376" t="s">
        <v>2499</v>
      </c>
      <c r="D287" s="372"/>
      <c r="E287" s="372" t="s">
        <v>2886</v>
      </c>
      <c r="F287" s="372"/>
      <c r="G287" s="372"/>
    </row>
    <row r="289" spans="1:7">
      <c r="A289" s="354" t="s">
        <v>2497</v>
      </c>
      <c r="B289" s="331"/>
      <c r="C289" s="331"/>
      <c r="D289" s="331"/>
      <c r="E289" s="331"/>
      <c r="F289" s="331"/>
    </row>
    <row r="291" spans="1:7">
      <c r="A291" s="356" t="s">
        <v>2484</v>
      </c>
      <c r="B291" s="356" t="s">
        <v>83</v>
      </c>
      <c r="C291" s="356" t="s">
        <v>84</v>
      </c>
      <c r="D291" s="356" t="s">
        <v>1723</v>
      </c>
      <c r="E291" s="356" t="s">
        <v>2835</v>
      </c>
      <c r="F291" s="356"/>
      <c r="G291" s="356" t="s">
        <v>2773</v>
      </c>
    </row>
    <row r="292" spans="1:7">
      <c r="A292" s="372" t="s">
        <v>2596</v>
      </c>
      <c r="B292" s="413">
        <v>20</v>
      </c>
      <c r="C292" s="372" t="s">
        <v>2498</v>
      </c>
      <c r="D292" s="372" t="s">
        <v>42</v>
      </c>
      <c r="E292" s="372" t="s">
        <v>2506</v>
      </c>
      <c r="F292" s="372"/>
      <c r="G292" s="372"/>
    </row>
    <row r="293" spans="1:7">
      <c r="A293" s="372" t="s">
        <v>2597</v>
      </c>
      <c r="B293" s="413">
        <v>10000</v>
      </c>
      <c r="C293" s="372" t="s">
        <v>2499</v>
      </c>
      <c r="D293" s="372" t="s">
        <v>42</v>
      </c>
      <c r="E293" s="372" t="s">
        <v>2506</v>
      </c>
      <c r="F293" s="372"/>
      <c r="G293" s="372"/>
    </row>
    <row r="294" spans="1:7">
      <c r="A294" s="372" t="s">
        <v>2598</v>
      </c>
      <c r="B294" s="413">
        <v>4000</v>
      </c>
      <c r="C294" s="372" t="s">
        <v>2499</v>
      </c>
      <c r="D294" s="372" t="s">
        <v>42</v>
      </c>
      <c r="E294" s="372" t="s">
        <v>2506</v>
      </c>
      <c r="F294" s="372"/>
      <c r="G294" s="372"/>
    </row>
    <row r="295" spans="1:7">
      <c r="A295" s="372" t="s">
        <v>2599</v>
      </c>
      <c r="B295" s="413">
        <v>150</v>
      </c>
      <c r="C295" s="372" t="s">
        <v>2500</v>
      </c>
      <c r="D295" s="372" t="s">
        <v>42</v>
      </c>
      <c r="E295" s="372" t="s">
        <v>2506</v>
      </c>
      <c r="F295" s="372" t="s">
        <v>2703</v>
      </c>
      <c r="G295" s="372"/>
    </row>
    <row r="296" spans="1:7">
      <c r="A296" s="369"/>
      <c r="B296" s="369"/>
      <c r="C296" s="369"/>
      <c r="D296" s="369"/>
      <c r="E296" s="369"/>
      <c r="F296" s="369"/>
      <c r="G296" s="369"/>
    </row>
    <row r="297" spans="1:7">
      <c r="A297" s="379" t="s">
        <v>2679</v>
      </c>
      <c r="B297" s="378"/>
      <c r="C297" s="378"/>
      <c r="D297" s="378"/>
      <c r="E297" s="378"/>
      <c r="F297" s="378"/>
      <c r="G297" s="378"/>
    </row>
    <row r="298" spans="1:7">
      <c r="A298" s="377" t="s">
        <v>2508</v>
      </c>
      <c r="B298" s="377" t="s">
        <v>83</v>
      </c>
      <c r="C298" s="377" t="s">
        <v>84</v>
      </c>
      <c r="D298" s="377" t="s">
        <v>2509</v>
      </c>
      <c r="E298" s="377" t="s">
        <v>2835</v>
      </c>
      <c r="F298" s="377"/>
      <c r="G298" s="377" t="s">
        <v>2773</v>
      </c>
    </row>
    <row r="299" spans="1:7">
      <c r="A299" s="360" t="s">
        <v>2600</v>
      </c>
      <c r="B299" s="362">
        <v>500</v>
      </c>
      <c r="C299" s="360" t="s">
        <v>2601</v>
      </c>
      <c r="D299" s="360" t="s">
        <v>2520</v>
      </c>
      <c r="E299" s="360" t="s">
        <v>3025</v>
      </c>
      <c r="F299" s="397" t="s">
        <v>3026</v>
      </c>
      <c r="G299" s="360" t="s">
        <v>2749</v>
      </c>
    </row>
    <row r="300" spans="1:7">
      <c r="A300" s="372" t="s">
        <v>2695</v>
      </c>
      <c r="B300" s="373">
        <v>0.13300000000000001</v>
      </c>
      <c r="C300" s="372" t="s">
        <v>2561</v>
      </c>
      <c r="D300" s="372" t="s">
        <v>2562</v>
      </c>
      <c r="E300" s="372" t="s">
        <v>2920</v>
      </c>
      <c r="F300" s="422" t="s">
        <v>2710</v>
      </c>
      <c r="G300" s="372" t="s">
        <v>2921</v>
      </c>
    </row>
    <row r="301" spans="1:7">
      <c r="A301" s="369" t="s">
        <v>2696</v>
      </c>
      <c r="B301" s="386">
        <v>0.5</v>
      </c>
      <c r="C301" s="372" t="s">
        <v>2690</v>
      </c>
      <c r="D301" s="372" t="s">
        <v>2527</v>
      </c>
      <c r="E301" s="372" t="s">
        <v>2887</v>
      </c>
      <c r="F301" s="372"/>
      <c r="G301" s="372" t="s">
        <v>2750</v>
      </c>
    </row>
    <row r="302" spans="1:7">
      <c r="A302" s="376" t="s">
        <v>2943</v>
      </c>
      <c r="B302" s="411">
        <f>B292*B299</f>
        <v>10000</v>
      </c>
      <c r="C302" s="376" t="s">
        <v>2499</v>
      </c>
      <c r="D302" s="372"/>
      <c r="E302" s="372" t="s">
        <v>2945</v>
      </c>
      <c r="F302" s="372" t="s">
        <v>2714</v>
      </c>
      <c r="G302" s="372"/>
    </row>
    <row r="303" spans="1:7">
      <c r="A303" s="376" t="s">
        <v>2944</v>
      </c>
      <c r="B303" s="375">
        <f>B292*B304*B305*B300*B301*$B$4/$B$8</f>
        <v>35673.306815999997</v>
      </c>
      <c r="C303" s="376" t="s">
        <v>2499</v>
      </c>
      <c r="D303" s="372"/>
      <c r="E303" s="372" t="s">
        <v>3231</v>
      </c>
      <c r="F303" s="422" t="s">
        <v>2710</v>
      </c>
      <c r="G303" s="372" t="s">
        <v>2780</v>
      </c>
    </row>
    <row r="304" spans="1:7">
      <c r="A304" s="376" t="s">
        <v>2996</v>
      </c>
      <c r="B304" s="414">
        <v>0.8</v>
      </c>
      <c r="C304" s="376" t="s">
        <v>2530</v>
      </c>
      <c r="D304" s="372" t="s">
        <v>2997</v>
      </c>
      <c r="E304" s="372" t="s">
        <v>2998</v>
      </c>
      <c r="F304" s="372"/>
      <c r="G304" s="372"/>
    </row>
    <row r="305" spans="1:7">
      <c r="A305" s="376" t="s">
        <v>2999</v>
      </c>
      <c r="B305" s="414">
        <v>0.6</v>
      </c>
      <c r="C305" s="376" t="s">
        <v>2530</v>
      </c>
      <c r="D305" s="372" t="s">
        <v>2997</v>
      </c>
      <c r="E305" s="372" t="s">
        <v>3000</v>
      </c>
      <c r="F305" s="372"/>
      <c r="G305" s="372"/>
    </row>
    <row r="306" spans="1:7">
      <c r="A306" s="376" t="s">
        <v>3001</v>
      </c>
      <c r="B306" s="414">
        <v>0.15</v>
      </c>
      <c r="C306" s="376" t="s">
        <v>2530</v>
      </c>
      <c r="D306" s="372" t="s">
        <v>2979</v>
      </c>
      <c r="E306" s="372" t="s">
        <v>3002</v>
      </c>
      <c r="F306" s="372"/>
      <c r="G306" s="372"/>
    </row>
    <row r="307" spans="1:7">
      <c r="A307" s="376" t="s">
        <v>3003</v>
      </c>
      <c r="B307" s="411">
        <v>500</v>
      </c>
      <c r="C307" s="376" t="s">
        <v>3004</v>
      </c>
      <c r="D307" s="372" t="s">
        <v>2536</v>
      </c>
      <c r="E307" s="372" t="s">
        <v>3005</v>
      </c>
      <c r="F307" s="372"/>
      <c r="G307" s="372"/>
    </row>
    <row r="308" spans="1:7">
      <c r="A308" s="376" t="s">
        <v>3111</v>
      </c>
      <c r="B308" s="375">
        <f>B292*B306*B307</f>
        <v>1500</v>
      </c>
      <c r="C308" s="376" t="s">
        <v>2499</v>
      </c>
      <c r="D308" s="372"/>
      <c r="E308" s="372" t="s">
        <v>2935</v>
      </c>
      <c r="F308" s="372" t="s">
        <v>2966</v>
      </c>
      <c r="G308" s="372"/>
    </row>
    <row r="309" spans="1:7">
      <c r="A309" s="369"/>
      <c r="B309" s="369"/>
      <c r="C309" s="369"/>
      <c r="D309" s="369"/>
      <c r="E309" s="369"/>
      <c r="F309" s="369"/>
      <c r="G309" s="369"/>
    </row>
    <row r="310" spans="1:7">
      <c r="A310" s="379" t="s">
        <v>2680</v>
      </c>
      <c r="B310" s="378"/>
      <c r="C310" s="378"/>
      <c r="D310" s="378"/>
      <c r="E310" s="378"/>
      <c r="F310" s="378"/>
      <c r="G310" s="378"/>
    </row>
    <row r="311" spans="1:7">
      <c r="A311" s="377" t="s">
        <v>2508</v>
      </c>
      <c r="B311" s="377" t="s">
        <v>83</v>
      </c>
      <c r="C311" s="377" t="s">
        <v>84</v>
      </c>
      <c r="D311" s="377" t="s">
        <v>2509</v>
      </c>
      <c r="E311" s="377" t="s">
        <v>2835</v>
      </c>
      <c r="F311" s="377"/>
      <c r="G311" s="377" t="s">
        <v>2773</v>
      </c>
    </row>
    <row r="312" spans="1:7">
      <c r="A312" s="372" t="s">
        <v>2602</v>
      </c>
      <c r="B312" s="371">
        <v>25</v>
      </c>
      <c r="C312" s="372" t="s">
        <v>2500</v>
      </c>
      <c r="D312" s="372" t="s">
        <v>2527</v>
      </c>
      <c r="E312" s="372" t="s">
        <v>2888</v>
      </c>
      <c r="F312" s="372"/>
      <c r="G312" s="372" t="s">
        <v>2751</v>
      </c>
    </row>
    <row r="313" spans="1:7">
      <c r="A313" s="372" t="s">
        <v>2603</v>
      </c>
      <c r="B313" s="371">
        <v>800</v>
      </c>
      <c r="C313" s="372" t="s">
        <v>2604</v>
      </c>
      <c r="D313" s="372" t="s">
        <v>2520</v>
      </c>
      <c r="E313" s="372" t="s">
        <v>2889</v>
      </c>
      <c r="F313" s="372" t="s">
        <v>2715</v>
      </c>
      <c r="G313" s="372" t="s">
        <v>2752</v>
      </c>
    </row>
    <row r="314" spans="1:7">
      <c r="A314" s="372" t="s">
        <v>2697</v>
      </c>
      <c r="B314" s="373">
        <v>0.13300000000000001</v>
      </c>
      <c r="C314" s="372" t="s">
        <v>2561</v>
      </c>
      <c r="D314" s="372" t="s">
        <v>2562</v>
      </c>
      <c r="E314" s="372" t="s">
        <v>2890</v>
      </c>
      <c r="F314" s="422" t="s">
        <v>2710</v>
      </c>
      <c r="G314" s="372" t="s">
        <v>2753</v>
      </c>
    </row>
    <row r="315" spans="1:7">
      <c r="A315" s="372" t="s">
        <v>2605</v>
      </c>
      <c r="B315" s="386">
        <v>1.5</v>
      </c>
      <c r="C315" s="372" t="s">
        <v>2606</v>
      </c>
      <c r="D315" s="372" t="s">
        <v>2527</v>
      </c>
      <c r="E315" s="372" t="s">
        <v>2891</v>
      </c>
      <c r="F315" s="372"/>
      <c r="G315" s="372"/>
    </row>
    <row r="316" spans="1:7">
      <c r="A316" s="369" t="s">
        <v>2696</v>
      </c>
      <c r="B316" s="386">
        <v>0.5</v>
      </c>
      <c r="C316" s="372" t="s">
        <v>2690</v>
      </c>
      <c r="D316" s="372" t="s">
        <v>2527</v>
      </c>
      <c r="E316" s="372" t="s">
        <v>2892</v>
      </c>
      <c r="F316" s="372"/>
      <c r="G316" s="372" t="s">
        <v>2754</v>
      </c>
    </row>
    <row r="317" spans="1:7">
      <c r="A317" s="376" t="s">
        <v>2946</v>
      </c>
      <c r="B317" s="411">
        <f>B312*B313</f>
        <v>20000</v>
      </c>
      <c r="C317" s="376" t="s">
        <v>2499</v>
      </c>
      <c r="D317" s="372"/>
      <c r="E317" s="372" t="s">
        <v>2947</v>
      </c>
      <c r="F317" s="372" t="s">
        <v>2715</v>
      </c>
      <c r="G317" s="372"/>
    </row>
    <row r="318" spans="1:7">
      <c r="A318" s="376" t="s">
        <v>2948</v>
      </c>
      <c r="B318" s="375">
        <f>B312*B319*B320*B314*B316*$B$4/$B$8*B315</f>
        <v>50165.587710000007</v>
      </c>
      <c r="C318" s="376" t="s">
        <v>2499</v>
      </c>
      <c r="D318" s="372"/>
      <c r="E318" s="372" t="s">
        <v>2992</v>
      </c>
      <c r="F318" s="422" t="s">
        <v>2710</v>
      </c>
      <c r="G318" s="372" t="s">
        <v>2781</v>
      </c>
    </row>
    <row r="319" spans="1:7">
      <c r="A319" s="376" t="s">
        <v>3006</v>
      </c>
      <c r="B319" s="414">
        <v>0.9</v>
      </c>
      <c r="C319" s="376" t="s">
        <v>2530</v>
      </c>
      <c r="D319" s="372" t="s">
        <v>2975</v>
      </c>
      <c r="E319" s="372" t="s">
        <v>3007</v>
      </c>
      <c r="F319" s="422" t="s">
        <v>2977</v>
      </c>
      <c r="G319" s="372"/>
    </row>
    <row r="320" spans="1:7">
      <c r="A320" s="376" t="s">
        <v>3008</v>
      </c>
      <c r="B320" s="414">
        <v>0.4</v>
      </c>
      <c r="C320" s="376" t="s">
        <v>2530</v>
      </c>
      <c r="D320" s="372" t="s">
        <v>2979</v>
      </c>
      <c r="E320" s="372" t="s">
        <v>3009</v>
      </c>
      <c r="F320" s="372"/>
      <c r="G320" s="372"/>
    </row>
    <row r="321" spans="1:7">
      <c r="A321" s="376" t="s">
        <v>3010</v>
      </c>
      <c r="B321" s="411">
        <v>400</v>
      </c>
      <c r="C321" s="376" t="s">
        <v>2604</v>
      </c>
      <c r="D321" s="372" t="s">
        <v>2536</v>
      </c>
      <c r="E321" s="372" t="s">
        <v>3021</v>
      </c>
      <c r="F321" s="422" t="s">
        <v>3022</v>
      </c>
      <c r="G321" s="372"/>
    </row>
    <row r="322" spans="1:7">
      <c r="A322" s="376" t="s">
        <v>3011</v>
      </c>
      <c r="B322" s="414">
        <v>0.1</v>
      </c>
      <c r="C322" s="376" t="s">
        <v>2530</v>
      </c>
      <c r="D322" s="372" t="s">
        <v>2979</v>
      </c>
      <c r="E322" s="372" t="s">
        <v>3012</v>
      </c>
      <c r="F322" s="372"/>
      <c r="G322" s="372"/>
    </row>
    <row r="323" spans="1:7">
      <c r="A323" s="376" t="s">
        <v>3013</v>
      </c>
      <c r="B323" s="411">
        <v>3000</v>
      </c>
      <c r="C323" s="376" t="s">
        <v>3014</v>
      </c>
      <c r="D323" s="372" t="s">
        <v>2536</v>
      </c>
      <c r="E323" s="372" t="s">
        <v>3029</v>
      </c>
      <c r="F323" s="372" t="s">
        <v>3030</v>
      </c>
      <c r="G323" s="372"/>
    </row>
    <row r="324" spans="1:7">
      <c r="A324" s="376" t="s">
        <v>2954</v>
      </c>
      <c r="B324" s="375">
        <f>B312*B321</f>
        <v>10000</v>
      </c>
      <c r="C324" s="376" t="s">
        <v>2499</v>
      </c>
      <c r="D324" s="372"/>
      <c r="E324" s="372" t="s">
        <v>2936</v>
      </c>
      <c r="F324" s="372" t="s">
        <v>2967</v>
      </c>
      <c r="G324" s="372"/>
    </row>
    <row r="325" spans="1:7">
      <c r="A325" s="376" t="s">
        <v>2937</v>
      </c>
      <c r="B325" s="375">
        <f>B312*B315*B322*B323</f>
        <v>11250</v>
      </c>
      <c r="C325" s="376" t="s">
        <v>2499</v>
      </c>
      <c r="D325" s="372"/>
      <c r="E325" s="372" t="s">
        <v>2938</v>
      </c>
      <c r="F325" s="372" t="s">
        <v>2968</v>
      </c>
      <c r="G325" s="372"/>
    </row>
    <row r="326" spans="1:7">
      <c r="A326" s="369"/>
      <c r="B326" s="369"/>
      <c r="C326" s="369"/>
      <c r="D326" s="369"/>
      <c r="E326" s="369"/>
      <c r="F326" s="369"/>
      <c r="G326" s="369"/>
    </row>
    <row r="327" spans="1:7">
      <c r="A327" s="379" t="s">
        <v>2681</v>
      </c>
      <c r="B327" s="378"/>
      <c r="C327" s="378"/>
      <c r="D327" s="378"/>
      <c r="E327" s="378"/>
      <c r="F327" s="378"/>
      <c r="G327" s="378"/>
    </row>
    <row r="328" spans="1:7">
      <c r="A328" s="377" t="s">
        <v>2508</v>
      </c>
      <c r="B328" s="377" t="s">
        <v>83</v>
      </c>
      <c r="C328" s="377" t="s">
        <v>84</v>
      </c>
      <c r="D328" s="377" t="s">
        <v>2509</v>
      </c>
      <c r="E328" s="377" t="s">
        <v>2835</v>
      </c>
      <c r="F328" s="377"/>
      <c r="G328" s="377" t="s">
        <v>2773</v>
      </c>
    </row>
    <row r="329" spans="1:7">
      <c r="A329" s="372" t="s">
        <v>2607</v>
      </c>
      <c r="B329" s="387">
        <f>B294</f>
        <v>4000</v>
      </c>
      <c r="C329" s="372" t="s">
        <v>2499</v>
      </c>
      <c r="D329" s="372" t="s">
        <v>2608</v>
      </c>
      <c r="E329" s="388" t="s">
        <v>2609</v>
      </c>
      <c r="F329" s="388"/>
      <c r="G329" s="388"/>
    </row>
    <row r="330" spans="1:7">
      <c r="A330" s="372" t="s">
        <v>2610</v>
      </c>
      <c r="B330" s="371">
        <v>200</v>
      </c>
      <c r="C330" s="372" t="s">
        <v>2611</v>
      </c>
      <c r="D330" s="372" t="s">
        <v>2527</v>
      </c>
      <c r="E330" s="372" t="s">
        <v>2893</v>
      </c>
      <c r="F330" s="372"/>
      <c r="G330" s="372" t="s">
        <v>2755</v>
      </c>
    </row>
    <row r="331" spans="1:7">
      <c r="A331" s="372" t="s">
        <v>2612</v>
      </c>
      <c r="B331" s="381">
        <f>B329/B330</f>
        <v>20</v>
      </c>
      <c r="C331" s="372" t="s">
        <v>2498</v>
      </c>
      <c r="D331" s="372" t="s">
        <v>2531</v>
      </c>
      <c r="E331" s="372" t="s">
        <v>2613</v>
      </c>
      <c r="F331" s="372"/>
      <c r="G331" s="372"/>
    </row>
    <row r="332" spans="1:7">
      <c r="A332" s="372" t="s">
        <v>2614</v>
      </c>
      <c r="B332" s="380">
        <v>0.5</v>
      </c>
      <c r="C332" s="372" t="s">
        <v>2615</v>
      </c>
      <c r="D332" s="372" t="s">
        <v>2616</v>
      </c>
      <c r="E332" s="372" t="s">
        <v>2894</v>
      </c>
      <c r="F332" s="372" t="s">
        <v>2716</v>
      </c>
      <c r="G332" s="372" t="s">
        <v>2756</v>
      </c>
    </row>
    <row r="333" spans="1:7">
      <c r="A333" s="372" t="s">
        <v>2698</v>
      </c>
      <c r="B333" s="373">
        <v>0.03</v>
      </c>
      <c r="C333" s="372" t="s">
        <v>2561</v>
      </c>
      <c r="D333" s="372" t="s">
        <v>2562</v>
      </c>
      <c r="E333" s="372" t="s">
        <v>2922</v>
      </c>
      <c r="F333" s="422" t="s">
        <v>2710</v>
      </c>
      <c r="G333" s="372" t="s">
        <v>2757</v>
      </c>
    </row>
    <row r="334" spans="1:7">
      <c r="A334" s="372" t="s">
        <v>2699</v>
      </c>
      <c r="B334" s="386">
        <v>0.5</v>
      </c>
      <c r="C334" s="372" t="s">
        <v>2690</v>
      </c>
      <c r="D334" s="372" t="s">
        <v>2527</v>
      </c>
      <c r="E334" s="372" t="s">
        <v>2895</v>
      </c>
      <c r="F334" s="372"/>
      <c r="G334" s="372" t="s">
        <v>2758</v>
      </c>
    </row>
    <row r="335" spans="1:7">
      <c r="A335" s="376" t="s">
        <v>2949</v>
      </c>
      <c r="B335" s="411">
        <f>B329</f>
        <v>4000</v>
      </c>
      <c r="C335" s="376" t="s">
        <v>2499</v>
      </c>
      <c r="D335" s="372"/>
      <c r="E335" s="372" t="s">
        <v>2950</v>
      </c>
      <c r="F335" s="372" t="s">
        <v>2704</v>
      </c>
      <c r="G335" s="372"/>
    </row>
    <row r="336" spans="1:7">
      <c r="A336" s="376" t="s">
        <v>2951</v>
      </c>
      <c r="B336" s="411">
        <f>B329*B332</f>
        <v>2000</v>
      </c>
      <c r="C336" s="376" t="s">
        <v>2499</v>
      </c>
      <c r="D336" s="372"/>
      <c r="E336" s="372" t="s">
        <v>2952</v>
      </c>
      <c r="F336" s="372" t="s">
        <v>2969</v>
      </c>
      <c r="G336" s="372"/>
    </row>
    <row r="337" spans="1:7">
      <c r="A337" s="376" t="s">
        <v>3016</v>
      </c>
      <c r="B337" s="414">
        <v>0.7</v>
      </c>
      <c r="C337" s="376" t="s">
        <v>2530</v>
      </c>
      <c r="D337" s="372" t="s">
        <v>2997</v>
      </c>
      <c r="E337" s="372" t="s">
        <v>3017</v>
      </c>
      <c r="F337" s="372"/>
      <c r="G337" s="372"/>
    </row>
    <row r="338" spans="1:7">
      <c r="A338" s="376" t="s">
        <v>3018</v>
      </c>
      <c r="B338" s="414">
        <v>0.8</v>
      </c>
      <c r="C338" s="376" t="s">
        <v>2530</v>
      </c>
      <c r="D338" s="372" t="s">
        <v>2997</v>
      </c>
      <c r="E338" s="372" t="s">
        <v>3232</v>
      </c>
      <c r="F338" s="372"/>
      <c r="G338" s="372"/>
    </row>
    <row r="339" spans="1:7">
      <c r="A339" s="376" t="s">
        <v>2953</v>
      </c>
      <c r="B339" s="375">
        <f>B331*B337*B338*B333*B334*$B$4/$B$8</f>
        <v>9387.7123200000005</v>
      </c>
      <c r="C339" s="376" t="s">
        <v>2499</v>
      </c>
      <c r="D339" s="372"/>
      <c r="E339" s="372" t="s">
        <v>2993</v>
      </c>
      <c r="F339" s="422" t="s">
        <v>2710</v>
      </c>
      <c r="G339" s="372" t="s">
        <v>2782</v>
      </c>
    </row>
    <row r="340" spans="1:7">
      <c r="A340" s="376" t="s">
        <v>3015</v>
      </c>
      <c r="B340" s="411">
        <v>150</v>
      </c>
      <c r="C340" s="376" t="s">
        <v>2611</v>
      </c>
      <c r="D340" s="372" t="s">
        <v>2536</v>
      </c>
      <c r="E340" s="372" t="s">
        <v>3027</v>
      </c>
      <c r="F340" s="372" t="s">
        <v>3028</v>
      </c>
      <c r="G340" s="372"/>
    </row>
    <row r="341" spans="1:7">
      <c r="A341" s="376" t="s">
        <v>2939</v>
      </c>
      <c r="B341" s="375">
        <f>B331*B340</f>
        <v>3000</v>
      </c>
      <c r="C341" s="376" t="s">
        <v>2499</v>
      </c>
      <c r="D341" s="372"/>
      <c r="E341" s="372" t="s">
        <v>2940</v>
      </c>
      <c r="F341" s="372" t="s">
        <v>2970</v>
      </c>
      <c r="G341" s="372"/>
    </row>
    <row r="342" spans="1:7">
      <c r="A342" s="376"/>
      <c r="B342" s="375"/>
      <c r="C342" s="376"/>
      <c r="D342" s="372"/>
      <c r="E342" s="372"/>
      <c r="F342" s="372"/>
      <c r="G342" s="372"/>
    </row>
    <row r="343" spans="1:7">
      <c r="A343" s="369"/>
      <c r="B343" s="369"/>
      <c r="C343" s="369"/>
      <c r="D343" s="369"/>
      <c r="E343" s="369"/>
      <c r="F343" s="369"/>
      <c r="G343" s="369"/>
    </row>
    <row r="344" spans="1:7">
      <c r="A344" s="379" t="s">
        <v>2682</v>
      </c>
      <c r="B344" s="378"/>
      <c r="C344" s="378"/>
      <c r="D344" s="378"/>
      <c r="E344" s="378"/>
      <c r="F344" s="378"/>
      <c r="G344" s="378"/>
    </row>
    <row r="345" spans="1:7">
      <c r="A345" s="377" t="s">
        <v>2508</v>
      </c>
      <c r="B345" s="377" t="s">
        <v>83</v>
      </c>
      <c r="C345" s="377" t="s">
        <v>84</v>
      </c>
      <c r="D345" s="377" t="s">
        <v>2509</v>
      </c>
      <c r="E345" s="377" t="s">
        <v>2835</v>
      </c>
      <c r="F345" s="377"/>
      <c r="G345" s="377" t="s">
        <v>2773</v>
      </c>
    </row>
    <row r="346" spans="1:7">
      <c r="A346" s="372" t="s">
        <v>2617</v>
      </c>
      <c r="B346" s="371">
        <v>60</v>
      </c>
      <c r="C346" s="372" t="s">
        <v>2592</v>
      </c>
      <c r="D346" s="372" t="s">
        <v>2520</v>
      </c>
      <c r="E346" s="372" t="s">
        <v>2896</v>
      </c>
      <c r="F346" s="372" t="s">
        <v>2618</v>
      </c>
      <c r="G346" s="372" t="s">
        <v>2759</v>
      </c>
    </row>
    <row r="347" spans="1:7">
      <c r="A347" s="372" t="s">
        <v>2619</v>
      </c>
      <c r="B347" s="371">
        <v>2</v>
      </c>
      <c r="C347" s="372" t="s">
        <v>2620</v>
      </c>
      <c r="D347" s="372" t="s">
        <v>2527</v>
      </c>
      <c r="E347" s="372" t="s">
        <v>2973</v>
      </c>
      <c r="F347" s="372"/>
      <c r="G347" s="372" t="s">
        <v>2760</v>
      </c>
    </row>
    <row r="348" spans="1:7">
      <c r="A348" s="372" t="s">
        <v>2700</v>
      </c>
      <c r="B348" s="373">
        <v>0.13300000000000001</v>
      </c>
      <c r="C348" s="372" t="s">
        <v>2561</v>
      </c>
      <c r="D348" s="372" t="s">
        <v>2562</v>
      </c>
      <c r="E348" s="372" t="s">
        <v>2897</v>
      </c>
      <c r="F348" s="422" t="s">
        <v>2710</v>
      </c>
      <c r="G348" s="372" t="s">
        <v>2761</v>
      </c>
    </row>
    <row r="349" spans="1:7">
      <c r="A349" s="372" t="s">
        <v>2621</v>
      </c>
      <c r="B349" s="373">
        <v>0.02</v>
      </c>
      <c r="C349" s="372" t="s">
        <v>2622</v>
      </c>
      <c r="D349" s="372" t="s">
        <v>2623</v>
      </c>
      <c r="E349" s="372" t="s">
        <v>2898</v>
      </c>
      <c r="F349" s="422" t="s">
        <v>2710</v>
      </c>
      <c r="G349" s="372" t="s">
        <v>2762</v>
      </c>
    </row>
    <row r="350" spans="1:7">
      <c r="A350" s="372" t="s">
        <v>2974</v>
      </c>
      <c r="B350" s="380">
        <v>0.4</v>
      </c>
      <c r="C350" s="372" t="s">
        <v>2530</v>
      </c>
      <c r="D350" s="372" t="s">
        <v>2975</v>
      </c>
      <c r="E350" s="372" t="s">
        <v>2976</v>
      </c>
      <c r="F350" s="422" t="s">
        <v>2977</v>
      </c>
      <c r="G350" s="372"/>
    </row>
    <row r="351" spans="1:7">
      <c r="A351" s="372" t="s">
        <v>2978</v>
      </c>
      <c r="B351" s="380">
        <v>0.25</v>
      </c>
      <c r="C351" s="372" t="s">
        <v>2530</v>
      </c>
      <c r="D351" s="372" t="s">
        <v>2979</v>
      </c>
      <c r="E351" s="372" t="s">
        <v>2980</v>
      </c>
      <c r="F351" s="372"/>
      <c r="G351" s="372"/>
    </row>
    <row r="352" spans="1:7">
      <c r="A352" s="372" t="s">
        <v>2981</v>
      </c>
      <c r="B352" s="380">
        <v>0.08</v>
      </c>
      <c r="C352" s="372" t="s">
        <v>2530</v>
      </c>
      <c r="D352" s="372" t="s">
        <v>2975</v>
      </c>
      <c r="E352" s="372" t="s">
        <v>2982</v>
      </c>
      <c r="F352" s="422" t="s">
        <v>2983</v>
      </c>
      <c r="G352" s="372"/>
    </row>
    <row r="353" spans="1:7">
      <c r="A353" s="372" t="s">
        <v>2984</v>
      </c>
      <c r="B353" s="380">
        <v>0.3</v>
      </c>
      <c r="C353" s="372" t="s">
        <v>2530</v>
      </c>
      <c r="D353" s="372" t="s">
        <v>2975</v>
      </c>
      <c r="E353" s="372" t="s">
        <v>2985</v>
      </c>
      <c r="F353" s="372" t="s">
        <v>2986</v>
      </c>
      <c r="G353" s="372"/>
    </row>
    <row r="354" spans="1:7">
      <c r="A354" s="369" t="s">
        <v>2689</v>
      </c>
      <c r="B354" s="386">
        <v>0.5</v>
      </c>
      <c r="C354" s="372" t="s">
        <v>2690</v>
      </c>
      <c r="D354" s="372" t="s">
        <v>2527</v>
      </c>
      <c r="E354" s="372" t="s">
        <v>2899</v>
      </c>
      <c r="F354" s="372"/>
      <c r="G354" s="372" t="s">
        <v>2763</v>
      </c>
    </row>
    <row r="355" spans="1:7">
      <c r="A355" s="376" t="s">
        <v>2955</v>
      </c>
      <c r="B355" s="375">
        <f>B295*B346*B347 + B356 + B357</f>
        <v>77762.847180000012</v>
      </c>
      <c r="C355" s="376" t="s">
        <v>2499</v>
      </c>
      <c r="D355" s="372"/>
      <c r="E355" s="372" t="s">
        <v>2991</v>
      </c>
      <c r="F355" s="372" t="s">
        <v>2618</v>
      </c>
      <c r="G355" s="372" t="s">
        <v>2764</v>
      </c>
    </row>
    <row r="356" spans="1:7">
      <c r="A356" s="376" t="s">
        <v>2987</v>
      </c>
      <c r="B356" s="375">
        <f>B295*B350*B351*B348*B354*$B$4/$B$8</f>
        <v>55739.541900000004</v>
      </c>
      <c r="C356" s="376" t="s">
        <v>2499</v>
      </c>
      <c r="D356" s="372"/>
      <c r="E356" s="372" t="s">
        <v>2988</v>
      </c>
      <c r="F356" s="422" t="s">
        <v>2710</v>
      </c>
      <c r="G356" s="372" t="s">
        <v>3233</v>
      </c>
    </row>
    <row r="357" spans="1:7">
      <c r="A357" s="376" t="s">
        <v>2989</v>
      </c>
      <c r="B357" s="375">
        <f>B295*B352*B353*B349*$B$4/$B$8</f>
        <v>4023.30528</v>
      </c>
      <c r="C357" s="376" t="s">
        <v>2499</v>
      </c>
      <c r="D357" s="372"/>
      <c r="E357" s="372" t="s">
        <v>2990</v>
      </c>
      <c r="F357" s="422" t="s">
        <v>2710</v>
      </c>
      <c r="G357" s="372" t="s">
        <v>3234</v>
      </c>
    </row>
    <row r="359" spans="1:7">
      <c r="A359" s="354" t="s">
        <v>2501</v>
      </c>
      <c r="B359" s="331"/>
      <c r="C359" s="331"/>
      <c r="D359" s="331"/>
      <c r="E359" s="331"/>
      <c r="F359" s="331"/>
    </row>
    <row r="361" spans="1:7">
      <c r="A361" s="370" t="s">
        <v>2484</v>
      </c>
      <c r="B361" s="370" t="s">
        <v>83</v>
      </c>
      <c r="C361" s="370" t="s">
        <v>84</v>
      </c>
      <c r="D361" s="370" t="s">
        <v>1723</v>
      </c>
      <c r="E361" s="370" t="s">
        <v>2835</v>
      </c>
      <c r="F361" s="370" t="s">
        <v>2703</v>
      </c>
      <c r="G361" s="370" t="s">
        <v>2773</v>
      </c>
    </row>
    <row r="362" spans="1:7">
      <c r="A362" s="366" t="s">
        <v>2502</v>
      </c>
      <c r="B362" s="367">
        <v>10</v>
      </c>
      <c r="C362" s="366" t="s">
        <v>2503</v>
      </c>
      <c r="D362" s="366" t="s">
        <v>42</v>
      </c>
      <c r="E362" s="366" t="s">
        <v>2506</v>
      </c>
      <c r="F362" s="366" t="s">
        <v>2704</v>
      </c>
      <c r="G362" s="366"/>
    </row>
    <row r="363" spans="1:7">
      <c r="A363" s="366" t="s">
        <v>2504</v>
      </c>
      <c r="B363" s="367">
        <v>150</v>
      </c>
      <c r="C363" s="366" t="s">
        <v>2505</v>
      </c>
      <c r="D363" s="366" t="s">
        <v>42</v>
      </c>
      <c r="E363" s="366" t="s">
        <v>2506</v>
      </c>
      <c r="F363" s="366" t="s">
        <v>2704</v>
      </c>
      <c r="G363" s="366"/>
    </row>
    <row r="364" spans="1:7">
      <c r="A364" s="366" t="s">
        <v>2624</v>
      </c>
      <c r="B364" s="367">
        <v>10</v>
      </c>
      <c r="C364" s="366" t="s">
        <v>2625</v>
      </c>
      <c r="D364" s="366" t="s">
        <v>2547</v>
      </c>
      <c r="E364" s="366" t="s">
        <v>2900</v>
      </c>
      <c r="F364" s="366" t="s">
        <v>2626</v>
      </c>
      <c r="G364" s="366" t="s">
        <v>2765</v>
      </c>
    </row>
    <row r="366" spans="1:7">
      <c r="A366" s="358" t="s">
        <v>2683</v>
      </c>
      <c r="B366" s="359"/>
      <c r="C366" s="359"/>
      <c r="D366" s="359"/>
      <c r="E366" s="359"/>
      <c r="F366" s="359"/>
      <c r="G366" s="359"/>
    </row>
    <row r="367" spans="1:7">
      <c r="A367" s="377" t="s">
        <v>2508</v>
      </c>
      <c r="B367" s="377" t="s">
        <v>83</v>
      </c>
      <c r="C367" s="377" t="s">
        <v>84</v>
      </c>
      <c r="D367" s="377" t="s">
        <v>2509</v>
      </c>
      <c r="E367" s="377" t="s">
        <v>2835</v>
      </c>
      <c r="F367" s="377"/>
      <c r="G367" s="377" t="s">
        <v>2773</v>
      </c>
    </row>
    <row r="368" spans="1:7">
      <c r="A368" s="372" t="s">
        <v>2627</v>
      </c>
      <c r="B368" s="371">
        <v>10</v>
      </c>
      <c r="C368" s="372" t="s">
        <v>2625</v>
      </c>
      <c r="D368" s="372" t="s">
        <v>2527</v>
      </c>
      <c r="E368" s="372" t="s">
        <v>2766</v>
      </c>
      <c r="F368" s="372"/>
      <c r="G368" s="372" t="s">
        <v>2766</v>
      </c>
    </row>
    <row r="369" spans="1:7">
      <c r="A369" s="372" t="s">
        <v>2628</v>
      </c>
      <c r="B369" s="371">
        <v>200</v>
      </c>
      <c r="C369" s="372" t="s">
        <v>2629</v>
      </c>
      <c r="D369" s="372" t="s">
        <v>2557</v>
      </c>
      <c r="E369" s="372" t="s">
        <v>2901</v>
      </c>
      <c r="F369" s="422" t="s">
        <v>2717</v>
      </c>
      <c r="G369" s="372" t="s">
        <v>2767</v>
      </c>
    </row>
    <row r="370" spans="1:7">
      <c r="A370" s="372" t="s">
        <v>2630</v>
      </c>
      <c r="B370" s="374">
        <v>8.5</v>
      </c>
      <c r="C370" s="372" t="s">
        <v>2631</v>
      </c>
      <c r="D370" s="372" t="s">
        <v>2632</v>
      </c>
      <c r="E370" s="372" t="s">
        <v>2902</v>
      </c>
      <c r="F370" s="372" t="s">
        <v>2718</v>
      </c>
      <c r="G370" s="372" t="s">
        <v>2768</v>
      </c>
    </row>
    <row r="371" spans="1:7">
      <c r="A371" s="372" t="s">
        <v>2633</v>
      </c>
      <c r="B371" s="371">
        <v>4</v>
      </c>
      <c r="C371" s="372" t="s">
        <v>2634</v>
      </c>
      <c r="D371" s="372" t="s">
        <v>2527</v>
      </c>
      <c r="E371" s="372" t="s">
        <v>2903</v>
      </c>
      <c r="F371" s="372"/>
      <c r="G371" s="372" t="s">
        <v>2769</v>
      </c>
    </row>
    <row r="372" spans="1:7">
      <c r="A372" s="372" t="s">
        <v>2635</v>
      </c>
      <c r="B372" s="371">
        <v>22</v>
      </c>
      <c r="C372" s="372" t="s">
        <v>2636</v>
      </c>
      <c r="D372" s="372" t="s">
        <v>2637</v>
      </c>
      <c r="E372" s="372" t="s">
        <v>2638</v>
      </c>
      <c r="F372" s="372"/>
      <c r="G372" s="372"/>
    </row>
    <row r="373" spans="1:7">
      <c r="A373" s="372" t="s">
        <v>2639</v>
      </c>
      <c r="B373" s="380">
        <v>0.7</v>
      </c>
      <c r="C373" s="372" t="s">
        <v>2530</v>
      </c>
      <c r="D373" s="372" t="s">
        <v>2527</v>
      </c>
      <c r="E373" s="372" t="s">
        <v>2904</v>
      </c>
      <c r="F373" s="372"/>
      <c r="G373" s="372" t="s">
        <v>2770</v>
      </c>
    </row>
    <row r="374" spans="1:7">
      <c r="A374" s="369"/>
      <c r="B374" s="369"/>
      <c r="C374" s="369"/>
      <c r="D374" s="369"/>
      <c r="E374" s="369"/>
      <c r="F374" s="369"/>
      <c r="G374" s="369"/>
    </row>
    <row r="375" spans="1:7">
      <c r="A375" s="376" t="s">
        <v>2640</v>
      </c>
      <c r="B375" s="375">
        <f>B362*B369*B368</f>
        <v>20000</v>
      </c>
      <c r="C375" s="376" t="s">
        <v>2499</v>
      </c>
      <c r="D375" s="372"/>
      <c r="E375" s="372" t="s">
        <v>2641</v>
      </c>
      <c r="F375" s="372"/>
      <c r="G375" s="372"/>
    </row>
    <row r="376" spans="1:7">
      <c r="A376" s="376" t="s">
        <v>2642</v>
      </c>
      <c r="B376" s="375">
        <f>B362*B373*B370*B371*B372*B368</f>
        <v>52360</v>
      </c>
      <c r="C376" s="376" t="s">
        <v>2499</v>
      </c>
      <c r="D376" s="372"/>
      <c r="E376" s="372" t="s">
        <v>2905</v>
      </c>
      <c r="F376" s="372"/>
      <c r="G376" s="372"/>
    </row>
    <row r="377" spans="1:7">
      <c r="A377" s="376" t="s">
        <v>2924</v>
      </c>
      <c r="B377" s="411">
        <v>480</v>
      </c>
      <c r="C377" s="376" t="s">
        <v>2925</v>
      </c>
      <c r="D377" s="372" t="s">
        <v>2926</v>
      </c>
      <c r="E377" s="372" t="s">
        <v>3023</v>
      </c>
      <c r="F377" s="422" t="s">
        <v>3024</v>
      </c>
      <c r="G377" s="372"/>
    </row>
    <row r="378" spans="1:7">
      <c r="A378" s="376" t="s">
        <v>2927</v>
      </c>
      <c r="B378" s="414">
        <v>0.3</v>
      </c>
      <c r="C378" s="376" t="s">
        <v>2530</v>
      </c>
      <c r="D378" s="372" t="s">
        <v>2527</v>
      </c>
      <c r="E378" s="372" t="s">
        <v>2928</v>
      </c>
      <c r="F378" s="372" t="s">
        <v>2971</v>
      </c>
      <c r="G378" s="372"/>
    </row>
    <row r="379" spans="1:7">
      <c r="A379" s="376" t="s">
        <v>2929</v>
      </c>
      <c r="B379" s="411">
        <v>800</v>
      </c>
      <c r="C379" s="376" t="s">
        <v>2930</v>
      </c>
      <c r="D379" s="372" t="s">
        <v>2536</v>
      </c>
      <c r="E379" s="372" t="s">
        <v>2931</v>
      </c>
      <c r="F379" s="422" t="s">
        <v>2932</v>
      </c>
      <c r="G379" s="372"/>
    </row>
    <row r="380" spans="1:7">
      <c r="A380" s="376" t="s">
        <v>3019</v>
      </c>
      <c r="B380" s="414">
        <v>0.2</v>
      </c>
      <c r="C380" s="376" t="s">
        <v>2530</v>
      </c>
      <c r="D380" s="372" t="s">
        <v>2979</v>
      </c>
      <c r="E380" s="372" t="s">
        <v>3020</v>
      </c>
      <c r="F380" s="372" t="s">
        <v>2971</v>
      </c>
      <c r="G380" s="372"/>
    </row>
    <row r="381" spans="1:7">
      <c r="A381" s="376" t="s">
        <v>2933</v>
      </c>
      <c r="B381" s="375">
        <f>(B362*B373*B378*B377*B368) + (B362*B380*B379)</f>
        <v>11680</v>
      </c>
      <c r="C381" s="376" t="s">
        <v>2499</v>
      </c>
      <c r="D381" s="372"/>
      <c r="E381" s="372" t="s">
        <v>2934</v>
      </c>
      <c r="F381" s="372"/>
      <c r="G381" s="372"/>
    </row>
    <row r="382" spans="1:7">
      <c r="A382" s="369"/>
      <c r="B382" s="369"/>
      <c r="C382" s="369"/>
      <c r="D382" s="369"/>
      <c r="E382" s="369"/>
      <c r="F382" s="369"/>
      <c r="G382" s="369"/>
    </row>
    <row r="383" spans="1:7">
      <c r="A383" s="379" t="s">
        <v>2684</v>
      </c>
      <c r="B383" s="378"/>
      <c r="C383" s="378"/>
      <c r="D383" s="378"/>
      <c r="E383" s="378"/>
      <c r="F383" s="378"/>
      <c r="G383" s="378"/>
    </row>
    <row r="384" spans="1:7">
      <c r="A384" s="377" t="s">
        <v>2508</v>
      </c>
      <c r="B384" s="377" t="s">
        <v>83</v>
      </c>
      <c r="C384" s="377" t="s">
        <v>84</v>
      </c>
      <c r="D384" s="377" t="s">
        <v>2509</v>
      </c>
      <c r="E384" s="377" t="s">
        <v>2835</v>
      </c>
      <c r="F384" s="377"/>
      <c r="G384" s="377" t="s">
        <v>2773</v>
      </c>
    </row>
    <row r="385" spans="1:7">
      <c r="A385" s="372" t="s">
        <v>2643</v>
      </c>
      <c r="B385" s="381">
        <f>B363*B364</f>
        <v>1500</v>
      </c>
      <c r="C385" s="372" t="s">
        <v>2644</v>
      </c>
      <c r="D385" s="372" t="s">
        <v>2531</v>
      </c>
      <c r="E385" s="372" t="s">
        <v>2645</v>
      </c>
      <c r="F385" s="372"/>
      <c r="G385" s="372"/>
    </row>
    <row r="386" spans="1:7">
      <c r="A386" s="372" t="s">
        <v>2646</v>
      </c>
      <c r="B386" s="371">
        <v>15</v>
      </c>
      <c r="C386" s="372" t="s">
        <v>2647</v>
      </c>
      <c r="D386" s="372" t="s">
        <v>2557</v>
      </c>
      <c r="E386" s="372" t="s">
        <v>2906</v>
      </c>
      <c r="F386" s="372" t="s">
        <v>2719</v>
      </c>
      <c r="G386" s="372" t="s">
        <v>2771</v>
      </c>
    </row>
    <row r="387" spans="1:7">
      <c r="A387" s="372" t="s">
        <v>2648</v>
      </c>
      <c r="B387" s="371">
        <v>50</v>
      </c>
      <c r="C387" s="372" t="s">
        <v>2649</v>
      </c>
      <c r="D387" s="372" t="s">
        <v>2650</v>
      </c>
      <c r="E387" s="372" t="s">
        <v>2907</v>
      </c>
      <c r="F387" s="422" t="s">
        <v>2720</v>
      </c>
      <c r="G387" s="372" t="s">
        <v>2772</v>
      </c>
    </row>
    <row r="388" spans="1:7">
      <c r="A388" s="372" t="s">
        <v>2651</v>
      </c>
      <c r="B388" s="381">
        <f>B385/3</f>
        <v>500</v>
      </c>
      <c r="C388" s="372" t="s">
        <v>77</v>
      </c>
      <c r="D388" s="372" t="s">
        <v>2531</v>
      </c>
      <c r="E388" s="372" t="s">
        <v>2652</v>
      </c>
      <c r="F388" s="372"/>
      <c r="G388" s="372"/>
    </row>
    <row r="389" spans="1:7">
      <c r="A389" s="369"/>
      <c r="B389" s="369"/>
      <c r="C389" s="369"/>
      <c r="D389" s="369"/>
      <c r="E389" s="369"/>
      <c r="F389" s="369"/>
      <c r="G389" s="369"/>
    </row>
    <row r="390" spans="1:7">
      <c r="A390" s="376" t="s">
        <v>2653</v>
      </c>
      <c r="B390" s="375">
        <f>B385*B386</f>
        <v>22500</v>
      </c>
      <c r="C390" s="376" t="s">
        <v>2499</v>
      </c>
      <c r="D390" s="372"/>
      <c r="E390" s="372" t="s">
        <v>2654</v>
      </c>
      <c r="F390" s="372"/>
      <c r="G390" s="372"/>
    </row>
    <row r="391" spans="1:7">
      <c r="A391" s="376" t="s">
        <v>2655</v>
      </c>
      <c r="B391" s="375">
        <f>B388*B387</f>
        <v>25000</v>
      </c>
      <c r="C391" s="376" t="s">
        <v>2499</v>
      </c>
      <c r="D391" s="372"/>
      <c r="E391" s="372" t="s">
        <v>2656</v>
      </c>
      <c r="F391" s="372"/>
      <c r="G391" s="372"/>
    </row>
    <row r="393" spans="1:7" ht="109.2">
      <c r="A393" s="314" t="s">
        <v>3113</v>
      </c>
    </row>
    <row r="395" spans="1:7">
      <c r="A395" s="354" t="s">
        <v>3114</v>
      </c>
      <c r="B395" s="331"/>
      <c r="C395" s="331"/>
      <c r="D395" s="331"/>
      <c r="E395" s="331"/>
      <c r="F395" s="331"/>
    </row>
    <row r="396" spans="1:7">
      <c r="A396" s="427" t="s">
        <v>3115</v>
      </c>
    </row>
    <row r="398" spans="1:7">
      <c r="A398" s="428" t="s">
        <v>3116</v>
      </c>
      <c r="B398" s="428" t="s">
        <v>83</v>
      </c>
      <c r="C398" s="428" t="s">
        <v>84</v>
      </c>
      <c r="D398" s="428" t="s">
        <v>3117</v>
      </c>
      <c r="E398" s="428" t="s">
        <v>2660</v>
      </c>
      <c r="F398" s="428" t="s">
        <v>2703</v>
      </c>
      <c r="G398" s="428" t="s">
        <v>3118</v>
      </c>
    </row>
    <row r="399" spans="1:7">
      <c r="A399" s="429" t="s">
        <v>3119</v>
      </c>
      <c r="B399" s="430"/>
      <c r="C399" s="430"/>
      <c r="D399" s="430"/>
      <c r="E399" s="430"/>
      <c r="F399" s="430"/>
      <c r="G399" s="430"/>
    </row>
    <row r="400" spans="1:7">
      <c r="A400" t="s">
        <v>3120</v>
      </c>
      <c r="B400" s="431">
        <v>100</v>
      </c>
      <c r="C400" t="s">
        <v>3121</v>
      </c>
      <c r="D400" t="s">
        <v>2573</v>
      </c>
      <c r="E400" t="s">
        <v>3122</v>
      </c>
      <c r="F400" t="s">
        <v>2704</v>
      </c>
      <c r="G400" t="s">
        <v>3123</v>
      </c>
    </row>
    <row r="401" spans="1:7">
      <c r="A401" t="s">
        <v>3124</v>
      </c>
      <c r="B401" s="432">
        <v>0.6</v>
      </c>
      <c r="C401" t="s">
        <v>3125</v>
      </c>
      <c r="D401" t="s">
        <v>3126</v>
      </c>
      <c r="E401" t="s">
        <v>3127</v>
      </c>
      <c r="F401" t="s">
        <v>3128</v>
      </c>
      <c r="G401" t="s">
        <v>3129</v>
      </c>
    </row>
    <row r="402" spans="1:7">
      <c r="A402" t="s">
        <v>3130</v>
      </c>
      <c r="B402" s="432">
        <v>0.3</v>
      </c>
      <c r="C402" t="s">
        <v>3125</v>
      </c>
      <c r="D402" t="s">
        <v>3131</v>
      </c>
      <c r="E402" t="s">
        <v>3132</v>
      </c>
      <c r="F402" t="s">
        <v>3133</v>
      </c>
      <c r="G402" t="s">
        <v>3134</v>
      </c>
    </row>
    <row r="403" spans="1:7">
      <c r="A403" t="s">
        <v>3235</v>
      </c>
      <c r="B403" s="433">
        <v>0.13300000000000001</v>
      </c>
      <c r="C403" t="s">
        <v>3135</v>
      </c>
      <c r="D403" t="s">
        <v>2562</v>
      </c>
      <c r="E403" t="s">
        <v>3136</v>
      </c>
      <c r="F403" t="s">
        <v>2710</v>
      </c>
      <c r="G403" t="s">
        <v>3137</v>
      </c>
    </row>
    <row r="404" spans="1:7">
      <c r="A404" t="s">
        <v>3138</v>
      </c>
      <c r="B404" s="434">
        <v>1</v>
      </c>
      <c r="C404" t="s">
        <v>108</v>
      </c>
      <c r="D404" t="s">
        <v>3139</v>
      </c>
      <c r="E404" t="s">
        <v>3140</v>
      </c>
      <c r="G404" t="s">
        <v>3141</v>
      </c>
    </row>
    <row r="405" spans="1:7">
      <c r="A405" t="s">
        <v>3142</v>
      </c>
      <c r="B405" s="435">
        <f>B4</f>
        <v>59446</v>
      </c>
      <c r="C405" t="s">
        <v>3143</v>
      </c>
      <c r="D405" t="s">
        <v>85</v>
      </c>
      <c r="E405" t="s">
        <v>3144</v>
      </c>
    </row>
    <row r="406" spans="1:7">
      <c r="A406" t="s">
        <v>3145</v>
      </c>
      <c r="B406" s="436">
        <f>B8</f>
        <v>1.0638297872340425</v>
      </c>
      <c r="C406" t="s">
        <v>93</v>
      </c>
      <c r="D406" t="s">
        <v>85</v>
      </c>
      <c r="E406" t="s">
        <v>3146</v>
      </c>
    </row>
    <row r="407" spans="1:7">
      <c r="A407" t="s">
        <v>3147</v>
      </c>
      <c r="B407" s="437">
        <f>B400*B401*B402*B403*B404*B405/B406</f>
        <v>133774.90056000001</v>
      </c>
      <c r="C407" t="s">
        <v>3148</v>
      </c>
      <c r="D407" t="s">
        <v>3149</v>
      </c>
      <c r="E407" s="438" t="s">
        <v>3150</v>
      </c>
      <c r="G407" t="s">
        <v>3151</v>
      </c>
    </row>
    <row r="409" spans="1:7">
      <c r="A409" s="429" t="s">
        <v>3152</v>
      </c>
      <c r="B409" s="430"/>
      <c r="C409" s="430"/>
      <c r="D409" s="430"/>
      <c r="E409" s="430"/>
      <c r="F409" s="430"/>
      <c r="G409" s="430"/>
    </row>
    <row r="410" spans="1:7">
      <c r="A410" t="s">
        <v>3120</v>
      </c>
      <c r="B410">
        <f>B400</f>
        <v>100</v>
      </c>
      <c r="C410" t="s">
        <v>3121</v>
      </c>
      <c r="D410" t="s">
        <v>85</v>
      </c>
      <c r="E410" t="s">
        <v>3153</v>
      </c>
    </row>
    <row r="411" spans="1:7">
      <c r="A411" t="s">
        <v>3154</v>
      </c>
      <c r="B411" s="432">
        <v>0.35</v>
      </c>
      <c r="C411" t="s">
        <v>3125</v>
      </c>
      <c r="D411" t="s">
        <v>3155</v>
      </c>
      <c r="E411" t="s">
        <v>3156</v>
      </c>
      <c r="F411" t="s">
        <v>2704</v>
      </c>
      <c r="G411" t="s">
        <v>3157</v>
      </c>
    </row>
    <row r="412" spans="1:7">
      <c r="A412" t="s">
        <v>3158</v>
      </c>
      <c r="B412" s="432">
        <v>0.2</v>
      </c>
      <c r="C412" t="s">
        <v>3125</v>
      </c>
      <c r="D412" t="s">
        <v>3131</v>
      </c>
      <c r="E412" t="s">
        <v>3236</v>
      </c>
      <c r="F412" t="s">
        <v>3133</v>
      </c>
      <c r="G412" t="s">
        <v>3159</v>
      </c>
    </row>
    <row r="413" spans="1:7">
      <c r="A413" t="s">
        <v>3237</v>
      </c>
      <c r="B413" s="433">
        <v>0.11600000000000001</v>
      </c>
      <c r="C413" t="s">
        <v>3135</v>
      </c>
      <c r="D413" t="s">
        <v>2562</v>
      </c>
      <c r="E413" t="s">
        <v>3160</v>
      </c>
      <c r="F413" t="s">
        <v>2710</v>
      </c>
      <c r="G413" t="s">
        <v>3238</v>
      </c>
    </row>
    <row r="414" spans="1:7">
      <c r="A414" t="s">
        <v>3138</v>
      </c>
      <c r="B414" s="434">
        <v>1</v>
      </c>
      <c r="C414" t="s">
        <v>108</v>
      </c>
      <c r="D414" t="s">
        <v>3139</v>
      </c>
      <c r="E414" t="s">
        <v>3161</v>
      </c>
    </row>
    <row r="415" spans="1:7">
      <c r="A415" t="s">
        <v>3162</v>
      </c>
      <c r="B415" s="435">
        <f>B4</f>
        <v>59446</v>
      </c>
      <c r="C415" t="s">
        <v>3143</v>
      </c>
      <c r="D415" t="s">
        <v>85</v>
      </c>
    </row>
    <row r="416" spans="1:7">
      <c r="A416" t="s">
        <v>3145</v>
      </c>
      <c r="B416" s="436">
        <f>B8</f>
        <v>1.0638297872340425</v>
      </c>
      <c r="C416" t="s">
        <v>93</v>
      </c>
      <c r="D416" t="s">
        <v>85</v>
      </c>
    </row>
    <row r="417" spans="1:7">
      <c r="A417" t="s">
        <v>3163</v>
      </c>
      <c r="B417" s="437">
        <f>B410*B411*B412*B413*B414*B415/B416</f>
        <v>45373.942880000002</v>
      </c>
      <c r="C417" t="s">
        <v>3148</v>
      </c>
      <c r="D417" t="s">
        <v>3149</v>
      </c>
      <c r="E417" s="438" t="s">
        <v>3164</v>
      </c>
      <c r="G417" t="s">
        <v>3165</v>
      </c>
    </row>
    <row r="419" spans="1:7">
      <c r="A419" s="429" t="s">
        <v>3166</v>
      </c>
      <c r="B419" s="430"/>
      <c r="C419" s="430"/>
      <c r="D419" s="430"/>
      <c r="E419" s="430"/>
      <c r="F419" s="430"/>
      <c r="G419" s="430"/>
    </row>
    <row r="420" spans="1:7">
      <c r="A420" t="s">
        <v>3120</v>
      </c>
      <c r="B420">
        <f>B400</f>
        <v>100</v>
      </c>
      <c r="C420" t="s">
        <v>3121</v>
      </c>
      <c r="D420" t="s">
        <v>85</v>
      </c>
    </row>
    <row r="421" spans="1:7">
      <c r="A421" t="s">
        <v>3167</v>
      </c>
      <c r="B421" s="432">
        <v>0.25</v>
      </c>
      <c r="C421" t="s">
        <v>3125</v>
      </c>
      <c r="D421" t="s">
        <v>3131</v>
      </c>
      <c r="E421" t="s">
        <v>3168</v>
      </c>
      <c r="F421" t="s">
        <v>2704</v>
      </c>
      <c r="G421" t="s">
        <v>3169</v>
      </c>
    </row>
    <row r="422" spans="1:7">
      <c r="A422" t="s">
        <v>3170</v>
      </c>
      <c r="B422" s="439">
        <v>16576</v>
      </c>
      <c r="C422" t="s">
        <v>3148</v>
      </c>
      <c r="D422" t="s">
        <v>3239</v>
      </c>
      <c r="E422" t="s">
        <v>3171</v>
      </c>
      <c r="F422" t="s">
        <v>3172</v>
      </c>
      <c r="G422" t="s">
        <v>3173</v>
      </c>
    </row>
    <row r="423" spans="1:7">
      <c r="A423" t="s">
        <v>3174</v>
      </c>
      <c r="B423" s="439">
        <v>0</v>
      </c>
      <c r="C423" t="s">
        <v>3148</v>
      </c>
      <c r="D423" t="s">
        <v>3139</v>
      </c>
      <c r="E423" t="s">
        <v>3175</v>
      </c>
      <c r="G423" t="s">
        <v>3176</v>
      </c>
    </row>
    <row r="424" spans="1:7">
      <c r="A424" t="s">
        <v>3177</v>
      </c>
      <c r="B424" s="437">
        <f>B420*B421*(B422-B423)</f>
        <v>414400</v>
      </c>
      <c r="C424" t="s">
        <v>3148</v>
      </c>
      <c r="D424" t="s">
        <v>2520</v>
      </c>
      <c r="E424" s="438" t="s">
        <v>3178</v>
      </c>
      <c r="G424" t="s">
        <v>3179</v>
      </c>
    </row>
    <row r="426" spans="1:7">
      <c r="A426" s="429" t="s">
        <v>3180</v>
      </c>
      <c r="B426" s="430"/>
      <c r="C426" s="430"/>
      <c r="D426" s="430"/>
      <c r="E426" s="430"/>
      <c r="F426" s="430"/>
      <c r="G426" s="430"/>
    </row>
    <row r="427" spans="1:7">
      <c r="A427" t="s">
        <v>3120</v>
      </c>
      <c r="B427">
        <f>B400</f>
        <v>100</v>
      </c>
      <c r="C427" t="s">
        <v>3121</v>
      </c>
      <c r="D427" t="s">
        <v>85</v>
      </c>
    </row>
    <row r="428" spans="1:7">
      <c r="A428" t="s">
        <v>3181</v>
      </c>
      <c r="B428" s="432">
        <v>0.2</v>
      </c>
      <c r="C428" t="s">
        <v>3125</v>
      </c>
      <c r="D428" t="s">
        <v>3126</v>
      </c>
      <c r="E428" t="s">
        <v>3182</v>
      </c>
      <c r="F428" t="s">
        <v>3133</v>
      </c>
      <c r="G428" t="s">
        <v>3183</v>
      </c>
    </row>
    <row r="429" spans="1:7">
      <c r="A429" t="s">
        <v>3258</v>
      </c>
      <c r="B429" s="432">
        <v>0.4</v>
      </c>
      <c r="C429" t="s">
        <v>3125</v>
      </c>
      <c r="D429" t="s">
        <v>3131</v>
      </c>
      <c r="E429" t="s">
        <v>3240</v>
      </c>
      <c r="G429" t="s">
        <v>3184</v>
      </c>
    </row>
    <row r="430" spans="1:7">
      <c r="A430" t="s">
        <v>3185</v>
      </c>
      <c r="B430" s="439">
        <v>23400</v>
      </c>
      <c r="C430" t="s">
        <v>3186</v>
      </c>
      <c r="D430" t="s">
        <v>2573</v>
      </c>
      <c r="E430" t="s">
        <v>3187</v>
      </c>
      <c r="F430" t="s">
        <v>3188</v>
      </c>
      <c r="G430" t="s">
        <v>3189</v>
      </c>
    </row>
    <row r="431" spans="1:7">
      <c r="A431" t="s">
        <v>3190</v>
      </c>
      <c r="B431" s="437">
        <f>B427*B428*B429*B430</f>
        <v>187200</v>
      </c>
      <c r="C431" t="s">
        <v>3148</v>
      </c>
      <c r="D431" t="s">
        <v>2520</v>
      </c>
      <c r="E431" s="438" t="s">
        <v>3191</v>
      </c>
      <c r="G431" t="s">
        <v>3192</v>
      </c>
    </row>
    <row r="433" spans="1:7">
      <c r="A433" s="429" t="s">
        <v>3193</v>
      </c>
      <c r="B433" s="430"/>
      <c r="C433" s="430"/>
      <c r="D433" s="430"/>
      <c r="E433" s="430"/>
      <c r="F433" s="430"/>
      <c r="G433" s="430"/>
    </row>
    <row r="434" spans="1:7">
      <c r="A434" t="s">
        <v>3120</v>
      </c>
      <c r="B434">
        <f>B400</f>
        <v>100</v>
      </c>
      <c r="C434" t="s">
        <v>3121</v>
      </c>
      <c r="D434" t="s">
        <v>85</v>
      </c>
    </row>
    <row r="435" spans="1:7">
      <c r="A435" t="s">
        <v>3194</v>
      </c>
      <c r="B435" s="432">
        <v>0.3</v>
      </c>
      <c r="C435" t="s">
        <v>3125</v>
      </c>
      <c r="D435" t="s">
        <v>3126</v>
      </c>
      <c r="E435" t="s">
        <v>3195</v>
      </c>
      <c r="F435" t="s">
        <v>3128</v>
      </c>
      <c r="G435" t="s">
        <v>3196</v>
      </c>
    </row>
    <row r="436" spans="1:7">
      <c r="A436" t="s">
        <v>3197</v>
      </c>
      <c r="B436" s="432">
        <v>0.35</v>
      </c>
      <c r="C436" t="s">
        <v>3125</v>
      </c>
      <c r="D436" t="s">
        <v>3131</v>
      </c>
      <c r="E436" t="s">
        <v>3198</v>
      </c>
      <c r="G436" t="s">
        <v>3199</v>
      </c>
    </row>
    <row r="437" spans="1:7">
      <c r="A437" t="s">
        <v>3200</v>
      </c>
      <c r="B437" s="439">
        <v>15000</v>
      </c>
      <c r="C437" t="s">
        <v>3186</v>
      </c>
      <c r="D437" t="s">
        <v>2573</v>
      </c>
      <c r="E437" t="s">
        <v>3201</v>
      </c>
      <c r="F437" t="s">
        <v>2704</v>
      </c>
      <c r="G437" t="s">
        <v>3202</v>
      </c>
    </row>
    <row r="438" spans="1:7">
      <c r="A438" t="s">
        <v>3203</v>
      </c>
      <c r="B438" s="437">
        <f>B434*B435*B436*B437</f>
        <v>157500</v>
      </c>
      <c r="C438" t="s">
        <v>3148</v>
      </c>
      <c r="D438" t="s">
        <v>2520</v>
      </c>
      <c r="E438" s="438" t="s">
        <v>3204</v>
      </c>
      <c r="G438" t="s">
        <v>3205</v>
      </c>
    </row>
    <row r="440" spans="1:7">
      <c r="A440" t="s">
        <v>3206</v>
      </c>
      <c r="B440" s="432">
        <v>0.8</v>
      </c>
      <c r="C440" t="s">
        <v>3125</v>
      </c>
      <c r="D440" t="s">
        <v>3139</v>
      </c>
      <c r="E440" t="s">
        <v>3207</v>
      </c>
      <c r="G440" t="s">
        <v>3208</v>
      </c>
    </row>
    <row r="441" spans="1:7">
      <c r="A441" t="s">
        <v>3241</v>
      </c>
      <c r="B441" s="433">
        <v>6.0999999999999999E-2</v>
      </c>
      <c r="C441" t="s">
        <v>3135</v>
      </c>
      <c r="D441" t="s">
        <v>2562</v>
      </c>
      <c r="E441" t="s">
        <v>3209</v>
      </c>
      <c r="F441" t="s">
        <v>2710</v>
      </c>
    </row>
    <row r="442" spans="1:7">
      <c r="A442" t="s">
        <v>3210</v>
      </c>
      <c r="B442" s="434">
        <v>1</v>
      </c>
      <c r="C442" t="s">
        <v>108</v>
      </c>
    </row>
    <row r="443" spans="1:7">
      <c r="A443" t="s">
        <v>3211</v>
      </c>
      <c r="B443" s="437">
        <f>B434*B435*B436*B440*B441*B442*B4/B8</f>
        <v>28632.522575999999</v>
      </c>
      <c r="C443" t="s">
        <v>3148</v>
      </c>
      <c r="D443" t="s">
        <v>3149</v>
      </c>
      <c r="E443" t="s">
        <v>3212</v>
      </c>
      <c r="G443" t="s">
        <v>3213</v>
      </c>
    </row>
    <row r="445" spans="1:7">
      <c r="A445" t="s">
        <v>3214</v>
      </c>
      <c r="B445" s="437">
        <f>B438+B443</f>
        <v>186132.52257599999</v>
      </c>
      <c r="C445" t="s">
        <v>3148</v>
      </c>
      <c r="D445" t="s">
        <v>3215</v>
      </c>
      <c r="E445" s="438" t="s">
        <v>3216</v>
      </c>
      <c r="G445" t="s">
        <v>3217</v>
      </c>
    </row>
    <row r="447" spans="1:7">
      <c r="A447" s="440" t="s">
        <v>3218</v>
      </c>
      <c r="B447" s="441">
        <f>B407+B417+B424+B431+B445</f>
        <v>966881.36601599993</v>
      </c>
      <c r="C447" s="442" t="s">
        <v>3148</v>
      </c>
      <c r="D447" s="426"/>
      <c r="E447" s="443" t="s">
        <v>3219</v>
      </c>
      <c r="F447" s="426"/>
      <c r="G447" s="426"/>
    </row>
    <row r="450" spans="1:7">
      <c r="A450" s="364" t="s">
        <v>2657</v>
      </c>
      <c r="B450" s="327"/>
      <c r="C450" s="327"/>
      <c r="D450" s="327"/>
      <c r="E450" s="327"/>
      <c r="F450" s="327"/>
      <c r="G450" s="327"/>
    </row>
    <row r="452" spans="1:7">
      <c r="A452" s="370" t="s">
        <v>2658</v>
      </c>
      <c r="B452" s="370" t="s">
        <v>2659</v>
      </c>
      <c r="C452" s="370" t="s">
        <v>2660</v>
      </c>
      <c r="F452" t="s">
        <v>2701</v>
      </c>
    </row>
    <row r="453" spans="1:7">
      <c r="A453" s="366" t="s">
        <v>2661</v>
      </c>
      <c r="B453" s="390">
        <f>B180</f>
        <v>12916.441249266507</v>
      </c>
      <c r="C453" s="391" t="s">
        <v>2797</v>
      </c>
      <c r="F453" t="s">
        <v>2923</v>
      </c>
    </row>
    <row r="454" spans="1:7">
      <c r="A454" s="366" t="s">
        <v>2662</v>
      </c>
      <c r="B454" s="390">
        <f>B199+B200</f>
        <v>112876.06480000001</v>
      </c>
      <c r="C454" s="391" t="s">
        <v>2834</v>
      </c>
      <c r="F454" s="397" t="s">
        <v>2710</v>
      </c>
    </row>
    <row r="455" spans="1:7">
      <c r="A455" s="366" t="s">
        <v>2663</v>
      </c>
      <c r="B455" s="390">
        <v>0</v>
      </c>
      <c r="C455" s="391" t="s">
        <v>2826</v>
      </c>
      <c r="F455" t="s">
        <v>2704</v>
      </c>
    </row>
    <row r="456" spans="1:7">
      <c r="A456" s="366" t="s">
        <v>2664</v>
      </c>
      <c r="B456" s="390">
        <f>B214</f>
        <v>37819.200000000004</v>
      </c>
      <c r="C456" s="391" t="s">
        <v>2665</v>
      </c>
      <c r="F456" s="397" t="s">
        <v>2712</v>
      </c>
    </row>
    <row r="457" spans="1:7">
      <c r="A457" s="366" t="s">
        <v>2666</v>
      </c>
      <c r="B457" s="390">
        <f>B234</f>
        <v>48000</v>
      </c>
      <c r="C457" s="391" t="s">
        <v>2702</v>
      </c>
      <c r="F457" t="s">
        <v>2704</v>
      </c>
    </row>
    <row r="458" spans="1:7">
      <c r="A458" s="366" t="s">
        <v>2784</v>
      </c>
      <c r="B458" s="390">
        <f>B236</f>
        <v>28108.023189041098</v>
      </c>
      <c r="C458" s="391" t="s">
        <v>2820</v>
      </c>
      <c r="F458" s="397" t="s">
        <v>2710</v>
      </c>
    </row>
    <row r="459" spans="1:7">
      <c r="A459" s="366" t="s">
        <v>2844</v>
      </c>
      <c r="B459" s="390">
        <f>B239</f>
        <v>52500</v>
      </c>
      <c r="C459" s="391" t="s">
        <v>2845</v>
      </c>
    </row>
    <row r="460" spans="1:7">
      <c r="A460" s="366" t="s">
        <v>2688</v>
      </c>
      <c r="B460" s="390">
        <f>B246</f>
        <v>30000</v>
      </c>
      <c r="C460" s="391" t="s">
        <v>2668</v>
      </c>
      <c r="F460" t="s">
        <v>2704</v>
      </c>
    </row>
    <row r="461" spans="1:7">
      <c r="A461" s="366" t="s">
        <v>2728</v>
      </c>
      <c r="B461" s="390">
        <f>B255</f>
        <v>32800</v>
      </c>
      <c r="C461" s="391" t="s">
        <v>2729</v>
      </c>
      <c r="F461" t="s">
        <v>2704</v>
      </c>
    </row>
    <row r="462" spans="1:7">
      <c r="A462" s="366" t="s">
        <v>2669</v>
      </c>
      <c r="B462" s="390">
        <f>B266</f>
        <v>58826.295808219176</v>
      </c>
      <c r="C462" s="391" t="s">
        <v>2821</v>
      </c>
      <c r="F462" s="397" t="s">
        <v>2710</v>
      </c>
    </row>
    <row r="463" spans="1:7">
      <c r="A463" s="366" t="s">
        <v>2670</v>
      </c>
      <c r="B463" s="390">
        <f>B280</f>
        <v>36000</v>
      </c>
      <c r="C463" s="391" t="s">
        <v>2671</v>
      </c>
      <c r="F463" s="397" t="s">
        <v>2708</v>
      </c>
    </row>
    <row r="464" spans="1:7">
      <c r="A464" s="366" t="s">
        <v>2672</v>
      </c>
      <c r="B464" s="390">
        <f>B287</f>
        <v>48000</v>
      </c>
      <c r="C464" s="391" t="s">
        <v>2673</v>
      </c>
      <c r="F464" t="s">
        <v>2704</v>
      </c>
    </row>
    <row r="465" spans="1:6">
      <c r="A465" s="366" t="s">
        <v>3242</v>
      </c>
      <c r="B465" s="390">
        <f>B302</f>
        <v>10000</v>
      </c>
      <c r="C465" s="391" t="s">
        <v>2956</v>
      </c>
      <c r="F465" s="397" t="s">
        <v>2710</v>
      </c>
    </row>
    <row r="466" spans="1:6">
      <c r="A466" s="366" t="s">
        <v>3243</v>
      </c>
      <c r="B466" s="390">
        <f>B303</f>
        <v>35673.306815999997</v>
      </c>
      <c r="C466" s="391" t="s">
        <v>2957</v>
      </c>
      <c r="F466" s="397" t="s">
        <v>2710</v>
      </c>
    </row>
    <row r="467" spans="1:6">
      <c r="A467" s="366" t="s">
        <v>3244</v>
      </c>
      <c r="B467" s="390">
        <f>B308</f>
        <v>1500</v>
      </c>
      <c r="C467" s="391" t="s">
        <v>2958</v>
      </c>
    </row>
    <row r="468" spans="1:6">
      <c r="A468" s="366" t="s">
        <v>3245</v>
      </c>
      <c r="B468" s="390">
        <f>B317</f>
        <v>20000</v>
      </c>
      <c r="C468" s="391" t="s">
        <v>2959</v>
      </c>
    </row>
    <row r="469" spans="1:6">
      <c r="A469" s="366" t="s">
        <v>3246</v>
      </c>
      <c r="B469" s="390">
        <f>B318</f>
        <v>50165.587710000007</v>
      </c>
      <c r="C469" s="391" t="s">
        <v>2960</v>
      </c>
      <c r="F469" s="397" t="s">
        <v>2710</v>
      </c>
    </row>
    <row r="470" spans="1:6">
      <c r="A470" s="366" t="s">
        <v>3247</v>
      </c>
      <c r="B470" s="390">
        <f>B324+B325</f>
        <v>21250</v>
      </c>
      <c r="C470" s="391" t="s">
        <v>2961</v>
      </c>
    </row>
    <row r="471" spans="1:6">
      <c r="A471" s="366" t="s">
        <v>3248</v>
      </c>
      <c r="B471" s="390">
        <f>B335</f>
        <v>4000</v>
      </c>
      <c r="C471" s="391" t="s">
        <v>2962</v>
      </c>
      <c r="F471" t="s">
        <v>2730</v>
      </c>
    </row>
    <row r="472" spans="1:6">
      <c r="A472" s="366" t="s">
        <v>3249</v>
      </c>
      <c r="B472" s="390">
        <f>B336</f>
        <v>2000</v>
      </c>
      <c r="C472" s="391" t="s">
        <v>2963</v>
      </c>
    </row>
    <row r="473" spans="1:6">
      <c r="A473" s="366" t="s">
        <v>3250</v>
      </c>
      <c r="B473" s="390">
        <f>B339</f>
        <v>9387.7123200000005</v>
      </c>
      <c r="C473" s="391" t="s">
        <v>2964</v>
      </c>
    </row>
    <row r="474" spans="1:6">
      <c r="A474" s="366" t="s">
        <v>3251</v>
      </c>
      <c r="B474" s="390">
        <f>B341</f>
        <v>3000</v>
      </c>
      <c r="C474" s="391" t="s">
        <v>2965</v>
      </c>
    </row>
    <row r="475" spans="1:6">
      <c r="A475" s="366" t="s">
        <v>3252</v>
      </c>
      <c r="B475" s="390">
        <f>B355</f>
        <v>77762.847180000012</v>
      </c>
      <c r="C475" s="391" t="s">
        <v>2994</v>
      </c>
    </row>
    <row r="476" spans="1:6">
      <c r="A476" s="366" t="s">
        <v>2685</v>
      </c>
      <c r="B476" s="390">
        <f>B375</f>
        <v>20000</v>
      </c>
      <c r="C476" s="391" t="s">
        <v>2674</v>
      </c>
      <c r="F476" t="s">
        <v>2704</v>
      </c>
    </row>
    <row r="477" spans="1:6">
      <c r="A477" s="366" t="s">
        <v>2686</v>
      </c>
      <c r="B477" s="390">
        <f>B376</f>
        <v>52360</v>
      </c>
      <c r="C477" s="391" t="s">
        <v>2675</v>
      </c>
      <c r="F477" t="s">
        <v>2704</v>
      </c>
    </row>
    <row r="478" spans="1:6">
      <c r="A478" s="366" t="s">
        <v>2687</v>
      </c>
      <c r="B478" s="390">
        <f>B390+B391</f>
        <v>47500</v>
      </c>
      <c r="C478" s="391" t="s">
        <v>2676</v>
      </c>
      <c r="F478" t="s">
        <v>2704</v>
      </c>
    </row>
    <row r="479" spans="1:6">
      <c r="A479" s="389" t="s">
        <v>2941</v>
      </c>
      <c r="B479" s="415">
        <f>B381</f>
        <v>11680</v>
      </c>
      <c r="C479" s="416" t="s">
        <v>2942</v>
      </c>
    </row>
    <row r="480" spans="1:6">
      <c r="A480" s="389" t="s">
        <v>3253</v>
      </c>
      <c r="B480" s="415">
        <f>B407</f>
        <v>133774.90056000001</v>
      </c>
      <c r="C480" s="416" t="s">
        <v>3220</v>
      </c>
    </row>
    <row r="481" spans="1:3">
      <c r="A481" s="389" t="s">
        <v>3254</v>
      </c>
      <c r="B481" s="415">
        <f>B417</f>
        <v>45373.942880000002</v>
      </c>
      <c r="C481" s="416" t="s">
        <v>3221</v>
      </c>
    </row>
    <row r="482" spans="1:3">
      <c r="A482" s="389" t="s">
        <v>3255</v>
      </c>
      <c r="B482" s="415">
        <f>B424</f>
        <v>414400</v>
      </c>
      <c r="C482" s="416" t="s">
        <v>3222</v>
      </c>
    </row>
    <row r="483" spans="1:3">
      <c r="A483" s="389" t="s">
        <v>3256</v>
      </c>
      <c r="B483" s="415">
        <f>B431</f>
        <v>187200</v>
      </c>
      <c r="C483" s="416" t="s">
        <v>3223</v>
      </c>
    </row>
    <row r="484" spans="1:3">
      <c r="A484" s="389" t="s">
        <v>3257</v>
      </c>
      <c r="B484" s="415">
        <f>B445</f>
        <v>186132.52257599999</v>
      </c>
      <c r="C484" s="416" t="s">
        <v>3224</v>
      </c>
    </row>
    <row r="485" spans="1:3" ht="16.2" thickBot="1">
      <c r="A485" s="368"/>
      <c r="B485" s="368"/>
      <c r="C485" s="368"/>
    </row>
    <row r="486" spans="1:3" ht="16.2" thickBot="1">
      <c r="A486" s="393" t="s">
        <v>2783</v>
      </c>
      <c r="B486" s="394">
        <f>SUM(B453:B484)</f>
        <v>1831006.8450885271</v>
      </c>
      <c r="C486" s="395" t="s">
        <v>2819</v>
      </c>
    </row>
    <row r="487" spans="1:3">
      <c r="A487" s="392"/>
      <c r="B487" s="396"/>
      <c r="C487" s="385"/>
    </row>
  </sheetData>
  <dataValidations count="2">
    <dataValidation type="list" allowBlank="1" showInputMessage="1" showErrorMessage="1" sqref="E142:E158" xr:uid="{7C9B4BBA-2528-7040-977E-6E09135987C9}">
      <formula1>"Primary data, Secondary data, Partial estimate, Full assumption"</formula1>
    </dataValidation>
    <dataValidation type="list" allowBlank="1" showInputMessage="1" showErrorMessage="1" sqref="D142:D158" xr:uid="{33AC6D81-7586-B644-BA1B-6D1A07897E66}">
      <formula1>"Output, Outcome, Baseline, Dropoff, Attribution, Valuation factor, Other"</formula1>
    </dataValidation>
  </dataValidations>
  <hyperlinks>
    <hyperlink ref="F171" r:id="rId1" tooltip="https://doi.org/10.1007/s13280-014-0507-x" xr:uid="{941FA390-4165-4327-84CF-2E32AC830BCC}"/>
    <hyperlink ref="F172" r:id="rId2" tooltip="https://doi.org/10.1021/acs.est.0c04740" xr:uid="{1309B4E6-7186-49CB-B0D3-E90AFFB57F19}"/>
    <hyperlink ref="F8" r:id="rId3" tooltip="https://www.ecb.europa.eu/stats/exchange/eurofxref/html/eurofxref-graph-usd.en.html" xr:uid="{E6E5AB04-562F-49C6-BE0E-8946C3C7190C}"/>
    <hyperlink ref="F175" r:id="rId4" tooltip="https://doi.org/10.3390/su14127079" xr:uid="{1519B23A-440F-47D2-8CCC-2D0406145937}"/>
    <hyperlink ref="F176" r:id="rId5" tooltip="https://doi.org/10.1038/s41559-018-0769-y" xr:uid="{0016A989-6F58-4A1C-84BD-2A5D8A636035}"/>
    <hyperlink ref="F178" r:id="rId6" tooltip="https://doi.org/10.3390/su8111156" xr:uid="{4A2ADB46-D711-4E6E-8E1B-CFE4F0ED2361}"/>
    <hyperlink ref="F194" r:id="rId7" tooltip="https://pubmed.ncbi.nlm.nih.gov/41176030/" xr:uid="{0F3E596E-B48A-4691-8EAD-9B951A05715B}"/>
    <hyperlink ref="F196" r:id="rId8" tooltip="https://pubmed.ncbi.nlm.nih.gov/41176030/" xr:uid="{4E24D5C6-E6CC-457C-A0C0-9777D2674DEE}"/>
    <hyperlink ref="F210" r:id="rId9" tooltip="https://oppla.eu/casestudy/23345" xr:uid="{14883DB6-1B6C-4B4A-86FA-5AC59F5C3DA4}"/>
    <hyperlink ref="F229" r:id="rId10" tooltip="https://ghdx.healthdata.org/record/ihme-data/gbd-2019-disability-weights" xr:uid="{02482E12-99F8-4FC8-A395-8B3630F94C72}"/>
    <hyperlink ref="F238" r:id="rId11" tooltip="https://www.cdc.gov/pcd/issues/2019/18_0549.htm" xr:uid="{49EF2038-1E5B-4C9A-82C1-876A88F2C747}"/>
    <hyperlink ref="F261" r:id="rId12" tooltip="https://pubmed.ncbi.nlm.nih.gov/41176030/" xr:uid="{D5F1AA7E-1F62-4948-BB62-57D60776F49E}"/>
    <hyperlink ref="F264" r:id="rId13" tooltip="https://ghdx.healthdata.org/record/ihme-data/gbd-2019-disability-weights" xr:uid="{7C4F4B0E-06DB-43AC-9A65-B3B8A6691A55}"/>
    <hyperlink ref="F299" r:id="rId14" tooltip="https://balcellsgroup.com/" xr:uid="{B39EA520-A380-4303-BA41-5AE37BD36CA5}"/>
    <hyperlink ref="F300" r:id="rId15" tooltip="https://ghdx.healthdata.org/record/ihme-data/gbd-2019-disability-weights" xr:uid="{E2253B54-45DD-40F3-ACB6-D5DFDCBA3290}"/>
    <hyperlink ref="F303" r:id="rId16" tooltip="https://ghdx.healthdata.org/record/ihme-data/gbd-2019-disability-weights" xr:uid="{1BC604C6-6A3B-4A6E-8139-33C9D759E9F8}"/>
    <hyperlink ref="F314" r:id="rId17" tooltip="https://ghdx.healthdata.org/record/ihme-data/gbd-2019-disability-weights" xr:uid="{EEE4E45A-A7F9-48FD-B1CD-846D10E83BCF}"/>
    <hyperlink ref="F318" r:id="rId18" tooltip="https://ghdx.healthdata.org/record/ihme-data/gbd-2019-disability-weights" xr:uid="{A65CFF17-7F54-42C9-A086-1BDF9F89F49E}"/>
    <hyperlink ref="F319" r:id="rId19" tooltip="https://doi.org/10.1111/acps.13559" xr:uid="{4DC0FAE9-6BD0-4A2B-9F08-C70EC8064A46}"/>
    <hyperlink ref="F321" r:id="rId20" tooltip="https://www.elconfidencialdigital.com/judicial/articulo/rumor-de-togas/espana-paga-1000-euros-menos-que-europa-dato-que-hace-estallar-abogados-turno-oficio/20260505050000019541.html" xr:uid="{F589C079-5E1B-486B-BF1A-59EB3807CA30}"/>
    <hyperlink ref="F333" r:id="rId21" tooltip="https://ghdx.healthdata.org/record/ihme-data/gbd-2019-disability-weights" xr:uid="{BB791225-D67E-46E6-A9AB-39046FC6D939}"/>
    <hyperlink ref="F339" r:id="rId22" tooltip="https://ghdx.healthdata.org/record/ihme-data/gbd-2019-disability-weights" xr:uid="{D3224B31-369C-471D-817E-EAF1A7179C86}"/>
    <hyperlink ref="F348" r:id="rId23" tooltip="https://ghdx.healthdata.org/record/ihme-data/gbd-2019-disability-weights" xr:uid="{005B6535-9DE1-45A1-8B6D-506E4FD4EEED}"/>
    <hyperlink ref="F349" r:id="rId24" tooltip="https://ghdx.healthdata.org/record/ihme-data/gbd-2019-disability-weights" xr:uid="{4CD491F6-35FC-4950-8FCE-A9CF43C7176F}"/>
    <hyperlink ref="F350" r:id="rId25" tooltip="https://doi.org/10.1111/acps.13559" xr:uid="{48402689-77A7-441F-87A3-61057A957A85}"/>
    <hyperlink ref="F352" r:id="rId26" tooltip="https://doi.org/10.1007/s10461-023-04204-6" xr:uid="{A9882E82-2C74-4E4C-9E01-95E2C197FCC6}"/>
    <hyperlink ref="F356" r:id="rId27" tooltip="https://ghdx.healthdata.org/record/ihme-data/gbd-2019-disability-weights" xr:uid="{EF20F6BA-FC75-4978-897C-57A6EC235C84}"/>
    <hyperlink ref="F357" r:id="rId28" tooltip="https://ghdx.healthdata.org/record/ihme-data/gbd-2019-disability-weights" xr:uid="{E75CB6FE-7BF3-4802-9C92-7074EEFBCFE3}"/>
    <hyperlink ref="F369" r:id="rId29" tooltip="https://www.expatica.com/es/living/family/preschool-spain-107654/" xr:uid="{FDA94E92-0602-4738-B594-EB210983F497}"/>
    <hyperlink ref="F377" r:id="rId30" tooltip="https://esanasesores.com/en/subsidios-por-desempleo/" xr:uid="{D8B3B784-1CF1-4EDE-ABCD-CEBADC0F97A8}"/>
    <hyperlink ref="F379" r:id="rId31" tooltip="https://www.oecd.org/content/dam/oecd/en/publications/reports/2022/10/modernising-social-services-in-spain_109f71b9/4add887d-en.pdf" xr:uid="{356B33BA-3FC9-498A-919A-7622ECD7E8CE}"/>
    <hyperlink ref="F387" r:id="rId32" tooltip="https://www.teebweb.org/wp-content/uploads/2014/03/TEEB-Database-and-Valuation-Manual_2013.pdf" xr:uid="{46A7F19C-FF5B-4894-8CA4-4A0273333DB5}"/>
    <hyperlink ref="F454" r:id="rId33" tooltip="https://ghdx.healthdata.org/record/ihme-data/gbd-2019-disability-weights" xr:uid="{DC0FD133-0E8A-48AD-8463-9E3A41356E43}"/>
    <hyperlink ref="F456" r:id="rId34" tooltip="https://oppla.eu/casestudy/23345" xr:uid="{47DAAE57-A32E-41D3-A65F-E66CFFEF40F6}"/>
    <hyperlink ref="F458" r:id="rId35" tooltip="https://ghdx.healthdata.org/record/ihme-data/gbd-2019-disability-weights" xr:uid="{F06BA4E9-C17C-496F-9BA7-5DA632EEC719}"/>
    <hyperlink ref="F462" r:id="rId36" tooltip="https://ghdx.healthdata.org/record/ihme-data/gbd-2019-disability-weights" xr:uid="{657957AD-5FA8-4DCB-91AD-CD2DF67AFD3C}"/>
    <hyperlink ref="F463" r:id="rId37" tooltip="https://doi.org/10.1061/(ASCE)UP.1943-5444.0000700" xr:uid="{9C6B8F51-C51E-4AAD-982E-F69A165018FF}"/>
    <hyperlink ref="F465" r:id="rId38" tooltip="https://ghdx.healthdata.org/record/ihme-data/gbd-2019-disability-weights" xr:uid="{EEF1BB62-5631-444B-BC92-C12709E6AD20}"/>
    <hyperlink ref="F466" r:id="rId39" tooltip="https://ghdx.healthdata.org/record/ihme-data/gbd-2019-disability-weights" xr:uid="{61C7E571-3B1B-4FC4-8D6A-1DB1F78A4B9E}"/>
    <hyperlink ref="F469" r:id="rId40" tooltip="https://ghdx.healthdata.org/record/ihme-data/gbd-2019-disability-weights" xr:uid="{CA177D11-1F9B-405E-AFFC-592928D7723E}"/>
  </hyperlinks>
  <pageMargins left="0.7" right="0.7" top="0.75" bottom="0.75" header="0.3" footer="0.3"/>
  <pageSetup orientation="portrait" horizontalDpi="0" verticalDpi="0"/>
  <legacyDrawing r:id="rId4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B3233-170B-1C47-969B-1AFEAC850156}">
  <sheetPr>
    <tabColor theme="2" tint="-9.9978637043366805E-2"/>
  </sheetPr>
  <dimension ref="A1:G88"/>
  <sheetViews>
    <sheetView showGridLines="0" topLeftCell="A28" zoomScale="134" zoomScaleNormal="150" workbookViewId="0">
      <selection activeCell="B43" sqref="B43"/>
    </sheetView>
  </sheetViews>
  <sheetFormatPr defaultColWidth="10.69921875" defaultRowHeight="15.6" outlineLevelRow="1"/>
  <cols>
    <col min="1" max="1" width="52.796875" customWidth="1"/>
    <col min="3" max="3" width="18.296875" bestFit="1" customWidth="1"/>
    <col min="4" max="4" width="18.296875" customWidth="1"/>
    <col min="5" max="5" width="15.796875" customWidth="1"/>
    <col min="6" max="6" width="20.296875" customWidth="1"/>
    <col min="7" max="7" width="60.5" customWidth="1"/>
  </cols>
  <sheetData>
    <row r="1" spans="1:7" s="87" customFormat="1" ht="33" customHeight="1">
      <c r="A1" s="85" t="s">
        <v>82</v>
      </c>
      <c r="B1" s="85" t="s">
        <v>83</v>
      </c>
      <c r="C1" s="85" t="s">
        <v>84</v>
      </c>
      <c r="D1" s="85" t="s">
        <v>1739</v>
      </c>
      <c r="E1" s="85" t="s">
        <v>212</v>
      </c>
      <c r="F1" s="86" t="s">
        <v>85</v>
      </c>
      <c r="G1" s="86" t="s">
        <v>126</v>
      </c>
    </row>
    <row r="2" spans="1:7">
      <c r="B2" s="195"/>
    </row>
    <row r="3" spans="1:7" s="10" customFormat="1">
      <c r="A3" s="9" t="s">
        <v>177</v>
      </c>
      <c r="B3" s="9"/>
      <c r="C3" s="9"/>
    </row>
    <row r="4" spans="1:7" outlineLevel="1">
      <c r="A4" t="s">
        <v>133</v>
      </c>
      <c r="B4" s="248">
        <v>100</v>
      </c>
      <c r="C4" t="s">
        <v>134</v>
      </c>
      <c r="D4" t="s">
        <v>42</v>
      </c>
      <c r="E4" t="s">
        <v>135</v>
      </c>
    </row>
    <row r="5" spans="1:7" outlineLevel="1">
      <c r="A5" t="s">
        <v>178</v>
      </c>
      <c r="B5" s="249">
        <f>VLOOKUP("France",'HEALTH | VI'!A:L,8,)</f>
        <v>4.6972159937846695E-5</v>
      </c>
      <c r="C5" t="s">
        <v>137</v>
      </c>
      <c r="D5" t="s">
        <v>49</v>
      </c>
      <c r="E5" t="s">
        <v>1741</v>
      </c>
      <c r="F5" t="s">
        <v>138</v>
      </c>
    </row>
    <row r="6" spans="1:7" outlineLevel="1">
      <c r="B6" s="88"/>
    </row>
    <row r="7" spans="1:7" outlineLevel="1">
      <c r="A7" s="13" t="s">
        <v>139</v>
      </c>
      <c r="B7" s="88"/>
    </row>
    <row r="8" spans="1:7" outlineLevel="1">
      <c r="A8" t="s">
        <v>140</v>
      </c>
      <c r="B8" s="250">
        <v>0.4</v>
      </c>
      <c r="C8" t="s">
        <v>179</v>
      </c>
      <c r="D8" t="s">
        <v>1744</v>
      </c>
      <c r="E8" t="s">
        <v>1740</v>
      </c>
    </row>
    <row r="9" spans="1:7" outlineLevel="1">
      <c r="A9" t="s">
        <v>142</v>
      </c>
      <c r="B9" s="250">
        <v>0.8</v>
      </c>
      <c r="C9" t="s">
        <v>179</v>
      </c>
      <c r="D9" t="s">
        <v>1745</v>
      </c>
      <c r="E9" t="s">
        <v>1740</v>
      </c>
    </row>
    <row r="10" spans="1:7" outlineLevel="1">
      <c r="A10" t="s">
        <v>143</v>
      </c>
      <c r="B10" s="250">
        <v>0.5</v>
      </c>
      <c r="C10" t="s">
        <v>179</v>
      </c>
      <c r="D10" t="s">
        <v>143</v>
      </c>
      <c r="E10" t="s">
        <v>1740</v>
      </c>
    </row>
    <row r="11" spans="1:7">
      <c r="B11" s="89"/>
    </row>
    <row r="12" spans="1:7" s="10" customFormat="1">
      <c r="A12" s="9" t="s">
        <v>7</v>
      </c>
      <c r="B12" s="9"/>
      <c r="C12" s="9"/>
    </row>
    <row r="13" spans="1:7" outlineLevel="1">
      <c r="A13" t="s">
        <v>180</v>
      </c>
      <c r="B13" s="252">
        <v>100</v>
      </c>
      <c r="C13" t="s">
        <v>181</v>
      </c>
      <c r="D13" t="s">
        <v>42</v>
      </c>
      <c r="E13" t="s">
        <v>135</v>
      </c>
    </row>
    <row r="14" spans="1:7" outlineLevel="1">
      <c r="A14" t="s">
        <v>182</v>
      </c>
      <c r="B14" s="252">
        <v>40</v>
      </c>
      <c r="C14" t="s">
        <v>104</v>
      </c>
      <c r="D14" t="s">
        <v>42</v>
      </c>
      <c r="E14" t="s">
        <v>135</v>
      </c>
    </row>
    <row r="15" spans="1:7" outlineLevel="1">
      <c r="A15" t="s">
        <v>159</v>
      </c>
      <c r="B15" s="253">
        <f>VLOOKUP("France",'EDU | VI'!A:P,13,)</f>
        <v>86.386481481481482</v>
      </c>
      <c r="C15" t="s">
        <v>160</v>
      </c>
      <c r="D15" t="s">
        <v>49</v>
      </c>
      <c r="E15" t="s">
        <v>1741</v>
      </c>
      <c r="F15" t="s">
        <v>183</v>
      </c>
    </row>
    <row r="16" spans="1:7" outlineLevel="1">
      <c r="A16" t="s">
        <v>161</v>
      </c>
      <c r="B16" s="253">
        <v>20</v>
      </c>
      <c r="C16" t="s">
        <v>108</v>
      </c>
      <c r="D16" t="s">
        <v>49</v>
      </c>
      <c r="E16" t="s">
        <v>1741</v>
      </c>
    </row>
    <row r="17" spans="1:6" outlineLevel="1">
      <c r="C17" s="13"/>
      <c r="D17" s="13"/>
      <c r="E17" s="13"/>
      <c r="F17" s="13"/>
    </row>
    <row r="18" spans="1:6" outlineLevel="1">
      <c r="A18" s="13" t="s">
        <v>184</v>
      </c>
      <c r="B18" s="88"/>
    </row>
    <row r="19" spans="1:6" outlineLevel="1">
      <c r="A19" t="s">
        <v>140</v>
      </c>
      <c r="B19" s="250">
        <v>1</v>
      </c>
      <c r="C19" t="s">
        <v>179</v>
      </c>
      <c r="D19" t="s">
        <v>1744</v>
      </c>
      <c r="E19" t="s">
        <v>1740</v>
      </c>
    </row>
    <row r="20" spans="1:6" outlineLevel="1">
      <c r="A20" t="s">
        <v>142</v>
      </c>
      <c r="B20" s="250">
        <v>1</v>
      </c>
      <c r="C20" t="s">
        <v>179</v>
      </c>
      <c r="D20" t="s">
        <v>1745</v>
      </c>
      <c r="E20" t="s">
        <v>1740</v>
      </c>
    </row>
    <row r="21" spans="1:6" outlineLevel="1">
      <c r="A21" t="s">
        <v>143</v>
      </c>
      <c r="B21" s="250">
        <v>1</v>
      </c>
      <c r="C21" t="s">
        <v>179</v>
      </c>
      <c r="D21" t="s">
        <v>143</v>
      </c>
      <c r="E21" t="s">
        <v>1740</v>
      </c>
    </row>
    <row r="23" spans="1:6" s="10" customFormat="1">
      <c r="A23" s="9" t="s">
        <v>185</v>
      </c>
      <c r="B23" s="9"/>
      <c r="C23" s="9"/>
    </row>
    <row r="24" spans="1:6" outlineLevel="1">
      <c r="A24" t="s">
        <v>180</v>
      </c>
      <c r="B24" s="252">
        <v>100</v>
      </c>
      <c r="C24" t="s">
        <v>134</v>
      </c>
      <c r="D24" t="s">
        <v>42</v>
      </c>
      <c r="E24" t="s">
        <v>135</v>
      </c>
    </row>
    <row r="25" spans="1:6" outlineLevel="1">
      <c r="A25" t="s">
        <v>2</v>
      </c>
      <c r="B25" s="253">
        <v>25</v>
      </c>
      <c r="C25" t="s">
        <v>66</v>
      </c>
      <c r="D25" t="s">
        <v>49</v>
      </c>
      <c r="E25" t="s">
        <v>1741</v>
      </c>
    </row>
    <row r="26" spans="1:6" outlineLevel="1"/>
    <row r="27" spans="1:6" outlineLevel="1">
      <c r="A27" s="13" t="s">
        <v>186</v>
      </c>
      <c r="B27" s="88"/>
    </row>
    <row r="28" spans="1:6" outlineLevel="1">
      <c r="A28" t="s">
        <v>140</v>
      </c>
      <c r="B28" s="250">
        <v>1</v>
      </c>
      <c r="C28" t="s">
        <v>179</v>
      </c>
      <c r="D28" t="s">
        <v>1744</v>
      </c>
      <c r="E28" t="s">
        <v>1740</v>
      </c>
    </row>
    <row r="29" spans="1:6" outlineLevel="1">
      <c r="A29" t="s">
        <v>142</v>
      </c>
      <c r="B29" s="250">
        <v>1</v>
      </c>
      <c r="C29" t="s">
        <v>179</v>
      </c>
      <c r="D29" t="s">
        <v>1745</v>
      </c>
      <c r="E29" t="s">
        <v>1740</v>
      </c>
    </row>
    <row r="30" spans="1:6" outlineLevel="1">
      <c r="A30" t="s">
        <v>143</v>
      </c>
      <c r="B30" s="250">
        <v>1</v>
      </c>
      <c r="C30" t="s">
        <v>179</v>
      </c>
      <c r="D30" t="s">
        <v>143</v>
      </c>
      <c r="E30" t="s">
        <v>1740</v>
      </c>
    </row>
    <row r="32" spans="1:6" s="10" customFormat="1">
      <c r="A32" s="9" t="s">
        <v>12</v>
      </c>
      <c r="B32" s="9"/>
      <c r="C32" s="9"/>
    </row>
    <row r="33" spans="1:5" outlineLevel="1">
      <c r="A33" t="s">
        <v>187</v>
      </c>
      <c r="B33" s="252">
        <v>100</v>
      </c>
      <c r="C33" t="s">
        <v>134</v>
      </c>
      <c r="D33" t="s">
        <v>42</v>
      </c>
      <c r="E33" t="s">
        <v>1740</v>
      </c>
    </row>
    <row r="34" spans="1:5" outlineLevel="1">
      <c r="A34" t="s">
        <v>188</v>
      </c>
      <c r="B34" s="253">
        <v>30</v>
      </c>
      <c r="C34" t="s">
        <v>66</v>
      </c>
      <c r="D34" t="s">
        <v>49</v>
      </c>
      <c r="E34" t="s">
        <v>1740</v>
      </c>
    </row>
    <row r="35" spans="1:5" outlineLevel="1"/>
    <row r="36" spans="1:5" outlineLevel="1">
      <c r="A36" s="13" t="s">
        <v>189</v>
      </c>
      <c r="B36" s="88"/>
    </row>
    <row r="37" spans="1:5" outlineLevel="1">
      <c r="A37" t="s">
        <v>140</v>
      </c>
      <c r="B37" s="250">
        <v>1</v>
      </c>
      <c r="C37" t="s">
        <v>179</v>
      </c>
      <c r="D37" t="s">
        <v>1744</v>
      </c>
      <c r="E37" t="s">
        <v>1740</v>
      </c>
    </row>
    <row r="38" spans="1:5" outlineLevel="1">
      <c r="A38" t="s">
        <v>142</v>
      </c>
      <c r="B38" s="250">
        <v>1</v>
      </c>
      <c r="C38" t="s">
        <v>179</v>
      </c>
      <c r="D38" t="s">
        <v>1745</v>
      </c>
      <c r="E38" t="s">
        <v>1740</v>
      </c>
    </row>
    <row r="39" spans="1:5" outlineLevel="1">
      <c r="A39" t="s">
        <v>143</v>
      </c>
      <c r="B39" s="250">
        <v>1</v>
      </c>
      <c r="C39" t="s">
        <v>179</v>
      </c>
      <c r="D39" t="s">
        <v>143</v>
      </c>
      <c r="E39" t="s">
        <v>1740</v>
      </c>
    </row>
    <row r="40" spans="1:5">
      <c r="B40" s="89"/>
    </row>
    <row r="41" spans="1:5" s="10" customFormat="1">
      <c r="A41" s="9" t="s">
        <v>14</v>
      </c>
      <c r="B41" s="9"/>
      <c r="C41" s="9"/>
    </row>
    <row r="42" spans="1:5" outlineLevel="1">
      <c r="A42" t="s">
        <v>190</v>
      </c>
      <c r="B42" s="252">
        <v>100</v>
      </c>
      <c r="C42" t="s">
        <v>134</v>
      </c>
      <c r="D42" t="s">
        <v>42</v>
      </c>
      <c r="E42" t="s">
        <v>1740</v>
      </c>
    </row>
    <row r="43" spans="1:5" outlineLevel="1">
      <c r="A43" t="s">
        <v>191</v>
      </c>
      <c r="B43" s="253">
        <v>30</v>
      </c>
      <c r="C43" t="s">
        <v>66</v>
      </c>
      <c r="D43" t="s">
        <v>49</v>
      </c>
      <c r="E43" t="s">
        <v>1740</v>
      </c>
    </row>
    <row r="44" spans="1:5" outlineLevel="1"/>
    <row r="45" spans="1:5" outlineLevel="1">
      <c r="A45" s="13" t="s">
        <v>189</v>
      </c>
      <c r="B45" s="88"/>
    </row>
    <row r="46" spans="1:5" outlineLevel="1">
      <c r="A46" t="s">
        <v>140</v>
      </c>
      <c r="B46" s="250">
        <v>1</v>
      </c>
      <c r="C46" t="s">
        <v>179</v>
      </c>
      <c r="D46" t="s">
        <v>1744</v>
      </c>
      <c r="E46" t="s">
        <v>1740</v>
      </c>
    </row>
    <row r="47" spans="1:5" outlineLevel="1">
      <c r="A47" t="s">
        <v>142</v>
      </c>
      <c r="B47" s="250">
        <v>1</v>
      </c>
      <c r="C47" t="s">
        <v>179</v>
      </c>
      <c r="D47" t="s">
        <v>1745</v>
      </c>
      <c r="E47" t="s">
        <v>1740</v>
      </c>
    </row>
    <row r="48" spans="1:5" outlineLevel="1">
      <c r="A48" t="s">
        <v>143</v>
      </c>
      <c r="B48" s="250">
        <v>1</v>
      </c>
      <c r="C48" t="s">
        <v>179</v>
      </c>
      <c r="D48" t="s">
        <v>143</v>
      </c>
      <c r="E48" t="s">
        <v>1740</v>
      </c>
    </row>
    <row r="49" spans="1:6">
      <c r="B49" s="89"/>
    </row>
    <row r="50" spans="1:6" s="10" customFormat="1">
      <c r="A50" s="9" t="s">
        <v>192</v>
      </c>
      <c r="B50" s="9"/>
      <c r="C50" s="9"/>
    </row>
    <row r="51" spans="1:6" outlineLevel="1">
      <c r="A51" t="s">
        <v>180</v>
      </c>
      <c r="B51" s="252">
        <v>100</v>
      </c>
      <c r="C51" t="s">
        <v>134</v>
      </c>
      <c r="D51" t="s">
        <v>42</v>
      </c>
      <c r="E51" t="s">
        <v>1740</v>
      </c>
      <c r="F51" t="s">
        <v>193</v>
      </c>
    </row>
    <row r="52" spans="1:6" outlineLevel="1">
      <c r="A52" t="s">
        <v>194</v>
      </c>
      <c r="B52" s="253">
        <v>100</v>
      </c>
      <c r="C52" t="s">
        <v>66</v>
      </c>
      <c r="D52" t="s">
        <v>49</v>
      </c>
      <c r="E52" t="s">
        <v>1740</v>
      </c>
      <c r="F52" t="s">
        <v>195</v>
      </c>
    </row>
    <row r="53" spans="1:6" outlineLevel="1"/>
    <row r="54" spans="1:6" outlineLevel="1">
      <c r="A54" s="13" t="s">
        <v>167</v>
      </c>
      <c r="B54" s="88"/>
    </row>
    <row r="55" spans="1:6" outlineLevel="1">
      <c r="A55" t="s">
        <v>140</v>
      </c>
      <c r="B55" s="250">
        <v>1</v>
      </c>
      <c r="C55" t="s">
        <v>179</v>
      </c>
      <c r="D55" t="s">
        <v>1744</v>
      </c>
      <c r="E55" t="s">
        <v>1740</v>
      </c>
    </row>
    <row r="56" spans="1:6" outlineLevel="1">
      <c r="A56" t="s">
        <v>142</v>
      </c>
      <c r="B56" s="250">
        <v>1</v>
      </c>
      <c r="C56" t="s">
        <v>179</v>
      </c>
      <c r="D56" t="s">
        <v>1745</v>
      </c>
      <c r="E56" t="s">
        <v>1740</v>
      </c>
    </row>
    <row r="57" spans="1:6" outlineLevel="1">
      <c r="A57" t="s">
        <v>143</v>
      </c>
      <c r="B57" s="250">
        <v>1</v>
      </c>
      <c r="C57" t="s">
        <v>179</v>
      </c>
      <c r="D57" t="s">
        <v>143</v>
      </c>
      <c r="E57" t="s">
        <v>1740</v>
      </c>
    </row>
    <row r="58" spans="1:6">
      <c r="B58" s="89"/>
    </row>
    <row r="59" spans="1:6" s="10" customFormat="1">
      <c r="A59" s="9" t="s">
        <v>6</v>
      </c>
      <c r="B59" s="9"/>
      <c r="C59" s="9"/>
    </row>
    <row r="60" spans="1:6" outlineLevel="1">
      <c r="A60" t="s">
        <v>168</v>
      </c>
      <c r="B60" s="248">
        <v>100</v>
      </c>
      <c r="C60" t="s">
        <v>169</v>
      </c>
      <c r="D60" t="s">
        <v>42</v>
      </c>
      <c r="E60" t="s">
        <v>1740</v>
      </c>
    </row>
    <row r="61" spans="1:6" outlineLevel="1">
      <c r="A61" t="s">
        <v>170</v>
      </c>
      <c r="B61" s="248">
        <v>2500</v>
      </c>
      <c r="C61" t="s">
        <v>71</v>
      </c>
      <c r="D61" t="s">
        <v>49</v>
      </c>
      <c r="E61" t="s">
        <v>1740</v>
      </c>
      <c r="F61" t="s">
        <v>171</v>
      </c>
    </row>
    <row r="62" spans="1:6" outlineLevel="1"/>
    <row r="63" spans="1:6" outlineLevel="1">
      <c r="A63" s="13" t="s">
        <v>172</v>
      </c>
      <c r="B63" s="88"/>
    </row>
    <row r="64" spans="1:6" outlineLevel="1">
      <c r="A64" t="s">
        <v>140</v>
      </c>
      <c r="B64" s="250">
        <v>1</v>
      </c>
      <c r="C64" t="s">
        <v>179</v>
      </c>
      <c r="D64" t="s">
        <v>1744</v>
      </c>
      <c r="E64" t="s">
        <v>1740</v>
      </c>
    </row>
    <row r="65" spans="1:6" outlineLevel="1">
      <c r="A65" t="s">
        <v>142</v>
      </c>
      <c r="B65" s="250">
        <v>1</v>
      </c>
      <c r="C65" t="s">
        <v>179</v>
      </c>
      <c r="D65" t="s">
        <v>1745</v>
      </c>
      <c r="E65" t="s">
        <v>1740</v>
      </c>
    </row>
    <row r="66" spans="1:6" outlineLevel="1">
      <c r="A66" t="s">
        <v>143</v>
      </c>
      <c r="B66" s="250">
        <v>1</v>
      </c>
      <c r="C66" t="s">
        <v>179</v>
      </c>
      <c r="D66" t="s">
        <v>143</v>
      </c>
      <c r="E66" t="s">
        <v>1740</v>
      </c>
    </row>
    <row r="68" spans="1:6" s="10" customFormat="1">
      <c r="A68" s="9" t="s">
        <v>73</v>
      </c>
      <c r="B68" s="9"/>
      <c r="C68" s="9"/>
    </row>
    <row r="69" spans="1:6" outlineLevel="1">
      <c r="A69" t="s">
        <v>196</v>
      </c>
      <c r="B69" s="254">
        <v>100000</v>
      </c>
      <c r="C69" t="s">
        <v>197</v>
      </c>
      <c r="D69" t="s">
        <v>42</v>
      </c>
      <c r="E69" t="s">
        <v>1740</v>
      </c>
    </row>
    <row r="70" spans="1:6" outlineLevel="1"/>
    <row r="71" spans="1:6" outlineLevel="1">
      <c r="A71" s="13" t="s">
        <v>176</v>
      </c>
      <c r="B71" s="88"/>
    </row>
    <row r="72" spans="1:6" outlineLevel="1">
      <c r="A72" t="s">
        <v>140</v>
      </c>
      <c r="B72" s="250">
        <v>1</v>
      </c>
      <c r="C72" t="s">
        <v>179</v>
      </c>
      <c r="D72" t="s">
        <v>1744</v>
      </c>
      <c r="E72" t="s">
        <v>1740</v>
      </c>
    </row>
    <row r="73" spans="1:6" outlineLevel="1">
      <c r="A73" t="s">
        <v>142</v>
      </c>
      <c r="B73" s="250">
        <v>1</v>
      </c>
      <c r="C73" t="s">
        <v>179</v>
      </c>
      <c r="D73" t="s">
        <v>1745</v>
      </c>
      <c r="E73" t="s">
        <v>1740</v>
      </c>
    </row>
    <row r="74" spans="1:6" outlineLevel="1">
      <c r="A74" t="s">
        <v>143</v>
      </c>
      <c r="B74" s="250">
        <v>1</v>
      </c>
      <c r="C74" t="s">
        <v>179</v>
      </c>
      <c r="D74" t="s">
        <v>143</v>
      </c>
      <c r="E74" t="s">
        <v>1740</v>
      </c>
    </row>
    <row r="76" spans="1:6" s="10" customFormat="1">
      <c r="A76" s="9" t="s">
        <v>79</v>
      </c>
      <c r="B76" s="9"/>
      <c r="C76" s="9"/>
    </row>
    <row r="77" spans="1:6" outlineLevel="1">
      <c r="A77" t="s">
        <v>198</v>
      </c>
      <c r="B77" s="254">
        <v>200</v>
      </c>
      <c r="C77" t="s">
        <v>199</v>
      </c>
      <c r="D77" t="s">
        <v>42</v>
      </c>
      <c r="E77" t="s">
        <v>135</v>
      </c>
    </row>
    <row r="78" spans="1:6" outlineLevel="1">
      <c r="A78" t="s">
        <v>200</v>
      </c>
      <c r="B78" s="258">
        <v>0.05</v>
      </c>
      <c r="C78" t="s">
        <v>179</v>
      </c>
      <c r="D78" t="s">
        <v>49</v>
      </c>
      <c r="E78" t="s">
        <v>135</v>
      </c>
      <c r="F78" t="s">
        <v>201</v>
      </c>
    </row>
    <row r="79" spans="1:6" outlineLevel="1">
      <c r="A79" t="s">
        <v>202</v>
      </c>
      <c r="B79" s="254">
        <v>1000</v>
      </c>
      <c r="C79" t="s">
        <v>63</v>
      </c>
      <c r="D79" t="s">
        <v>49</v>
      </c>
      <c r="E79" t="s">
        <v>135</v>
      </c>
      <c r="F79" t="s">
        <v>201</v>
      </c>
    </row>
    <row r="81" spans="1:6" s="10" customFormat="1">
      <c r="A81" s="9" t="s">
        <v>80</v>
      </c>
      <c r="B81" s="9"/>
      <c r="C81" s="9"/>
    </row>
    <row r="82" spans="1:6" outlineLevel="1">
      <c r="A82" t="s">
        <v>198</v>
      </c>
      <c r="B82" s="254">
        <v>200</v>
      </c>
      <c r="C82" t="s">
        <v>199</v>
      </c>
      <c r="D82" t="s">
        <v>42</v>
      </c>
      <c r="E82" t="s">
        <v>135</v>
      </c>
    </row>
    <row r="83" spans="1:6" outlineLevel="1">
      <c r="A83" t="s">
        <v>203</v>
      </c>
      <c r="B83" s="258">
        <v>0.02</v>
      </c>
      <c r="C83" t="s">
        <v>179</v>
      </c>
      <c r="D83" t="s">
        <v>49</v>
      </c>
      <c r="E83" t="s">
        <v>135</v>
      </c>
      <c r="F83" t="s">
        <v>201</v>
      </c>
    </row>
    <row r="84" spans="1:6" outlineLevel="1">
      <c r="A84" t="s">
        <v>204</v>
      </c>
      <c r="B84" s="254">
        <v>1000</v>
      </c>
      <c r="C84" t="s">
        <v>63</v>
      </c>
      <c r="D84" t="s">
        <v>49</v>
      </c>
      <c r="E84" t="s">
        <v>135</v>
      </c>
      <c r="F84" t="s">
        <v>201</v>
      </c>
    </row>
    <row r="86" spans="1:6" s="10" customFormat="1">
      <c r="A86" s="9" t="s">
        <v>205</v>
      </c>
      <c r="B86" s="9"/>
      <c r="C86" s="9"/>
    </row>
    <row r="87" spans="1:6" outlineLevel="1">
      <c r="A87" t="s">
        <v>206</v>
      </c>
      <c r="B87" s="254">
        <v>100000</v>
      </c>
      <c r="C87" t="s">
        <v>76</v>
      </c>
      <c r="D87" t="s">
        <v>42</v>
      </c>
      <c r="E87" t="s">
        <v>135</v>
      </c>
      <c r="F87" t="s">
        <v>207</v>
      </c>
    </row>
    <row r="88" spans="1:6" outlineLevel="1">
      <c r="A88" t="s">
        <v>208</v>
      </c>
      <c r="B88" s="258">
        <v>0.05</v>
      </c>
      <c r="C88" t="s">
        <v>179</v>
      </c>
      <c r="D88" t="s">
        <v>49</v>
      </c>
      <c r="E88" t="s">
        <v>135</v>
      </c>
      <c r="F88" t="s">
        <v>201</v>
      </c>
    </row>
  </sheetData>
  <dataValidations disablePrompts="1" count="2">
    <dataValidation type="list" allowBlank="1" showInputMessage="1" showErrorMessage="1" sqref="D3:D5 D54:D61 D18:D30 D37:D43 D8:D16 D45:D52 D63:D69 D32:D34 D72:D1048576" xr:uid="{9287FFA4-6BBC-4741-9F3C-87C831C267D8}">
      <formula1>"Output, Outcome, Baseline, Dropoff, Attribution, Valuation factor, Other"</formula1>
    </dataValidation>
    <dataValidation type="list" allowBlank="1" showInputMessage="1" showErrorMessage="1" sqref="E3:E5 E8:E16 E86:E88 E76:E79 E81:E84 E18:E30 E45:E52 E72:E74 E54:E61 E63:E69 E37:E43 E32:E34" xr:uid="{F8D97D29-3254-7D4B-88E8-3EAD4321B833}">
      <formula1>"Primary data, Secondary data, Partial estimate, Full assumption"</formula1>
    </dataValidation>
  </dataValidations>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B1:F23"/>
  <sheetViews>
    <sheetView showGridLines="0" zoomScale="111" zoomScaleNormal="107" workbookViewId="0">
      <selection activeCell="B43" sqref="B43"/>
    </sheetView>
  </sheetViews>
  <sheetFormatPr defaultColWidth="10.796875" defaultRowHeight="14.4"/>
  <cols>
    <col min="1" max="1" width="4" style="11" customWidth="1"/>
    <col min="2" max="2" width="17.19921875" style="11" customWidth="1"/>
    <col min="3" max="3" width="11.5" style="14" customWidth="1"/>
    <col min="4" max="4" width="49" style="11" customWidth="1"/>
    <col min="5" max="5" width="71.796875" style="11" bestFit="1" customWidth="1"/>
    <col min="6" max="6" width="48.19921875" style="11" customWidth="1"/>
    <col min="7" max="16384" width="10.796875" style="11"/>
  </cols>
  <sheetData>
    <row r="1" spans="2:6" ht="15" thickBot="1"/>
    <row r="2" spans="2:6" s="12" customFormat="1" ht="27" customHeight="1" thickBot="1">
      <c r="B2" s="59" t="s">
        <v>209</v>
      </c>
      <c r="C2" s="60" t="s">
        <v>35</v>
      </c>
      <c r="D2" s="60" t="s">
        <v>210</v>
      </c>
      <c r="E2" s="61" t="s">
        <v>211</v>
      </c>
      <c r="F2" s="62" t="s">
        <v>212</v>
      </c>
    </row>
    <row r="3" spans="2:6">
      <c r="B3" s="63" t="s">
        <v>213</v>
      </c>
      <c r="C3" s="64">
        <v>2022</v>
      </c>
      <c r="D3" s="65" t="s">
        <v>214</v>
      </c>
      <c r="E3" s="66" t="s">
        <v>215</v>
      </c>
      <c r="F3" s="151" t="s">
        <v>215</v>
      </c>
    </row>
    <row r="4" spans="2:6" s="12" customFormat="1">
      <c r="B4" s="67" t="s">
        <v>216</v>
      </c>
      <c r="C4" s="68">
        <v>2023</v>
      </c>
      <c r="D4" s="69" t="s">
        <v>217</v>
      </c>
      <c r="E4" s="70" t="s">
        <v>218</v>
      </c>
      <c r="F4" s="71" t="s">
        <v>130</v>
      </c>
    </row>
    <row r="5" spans="2:6">
      <c r="B5" s="78" t="s">
        <v>219</v>
      </c>
      <c r="C5" s="68">
        <v>2023</v>
      </c>
      <c r="D5" s="69" t="s">
        <v>220</v>
      </c>
      <c r="E5" s="70" t="s">
        <v>218</v>
      </c>
      <c r="F5" s="71" t="s">
        <v>130</v>
      </c>
    </row>
    <row r="6" spans="2:6">
      <c r="B6" s="67" t="s">
        <v>221</v>
      </c>
      <c r="C6" s="68">
        <v>2022</v>
      </c>
      <c r="D6" s="69" t="s">
        <v>222</v>
      </c>
      <c r="E6" s="70" t="s">
        <v>218</v>
      </c>
      <c r="F6" s="71" t="s">
        <v>130</v>
      </c>
    </row>
    <row r="7" spans="2:6" ht="43.2">
      <c r="B7" s="67" t="s">
        <v>223</v>
      </c>
      <c r="C7" s="68">
        <v>2022</v>
      </c>
      <c r="D7" s="72" t="s">
        <v>224</v>
      </c>
      <c r="E7" s="73" t="s">
        <v>225</v>
      </c>
      <c r="F7" s="74" t="s">
        <v>130</v>
      </c>
    </row>
    <row r="8" spans="2:6" ht="72">
      <c r="B8" s="67" t="s">
        <v>226</v>
      </c>
      <c r="C8" s="68">
        <v>2022</v>
      </c>
      <c r="D8" s="72" t="s">
        <v>227</v>
      </c>
      <c r="E8" s="73" t="s">
        <v>228</v>
      </c>
      <c r="F8" s="71" t="s">
        <v>130</v>
      </c>
    </row>
    <row r="9" spans="2:6" ht="43.2">
      <c r="B9" s="67" t="s">
        <v>229</v>
      </c>
      <c r="C9" s="68">
        <v>2019</v>
      </c>
      <c r="D9" s="72" t="s">
        <v>230</v>
      </c>
      <c r="E9" s="73" t="s">
        <v>231</v>
      </c>
      <c r="F9" s="75" t="s">
        <v>232</v>
      </c>
    </row>
    <row r="10" spans="2:6" s="12" customFormat="1" ht="129.6">
      <c r="B10" s="67" t="s">
        <v>233</v>
      </c>
      <c r="C10" s="68" t="s">
        <v>234</v>
      </c>
      <c r="D10" s="72" t="s">
        <v>235</v>
      </c>
      <c r="E10" s="73" t="s">
        <v>236</v>
      </c>
      <c r="F10" s="75" t="s">
        <v>237</v>
      </c>
    </row>
    <row r="11" spans="2:6" ht="28.8">
      <c r="B11" s="67" t="s">
        <v>238</v>
      </c>
      <c r="C11" s="68">
        <v>2023</v>
      </c>
      <c r="D11" s="72" t="s">
        <v>239</v>
      </c>
      <c r="E11" s="76" t="s">
        <v>240</v>
      </c>
      <c r="F11" s="75" t="s">
        <v>237</v>
      </c>
    </row>
    <row r="12" spans="2:6" ht="57.6">
      <c r="B12" s="67" t="s">
        <v>241</v>
      </c>
      <c r="C12" s="68">
        <v>2023</v>
      </c>
      <c r="D12" s="72" t="s">
        <v>242</v>
      </c>
      <c r="E12" s="73" t="s">
        <v>243</v>
      </c>
      <c r="F12" s="75" t="s">
        <v>244</v>
      </c>
    </row>
    <row r="13" spans="2:6" ht="28.8">
      <c r="B13" s="78" t="s">
        <v>245</v>
      </c>
      <c r="C13" s="77">
        <v>2023</v>
      </c>
      <c r="D13" s="83" t="s">
        <v>246</v>
      </c>
      <c r="E13" s="83"/>
      <c r="F13" s="79"/>
    </row>
    <row r="14" spans="2:6" ht="28.8">
      <c r="B14" s="78" t="s">
        <v>247</v>
      </c>
      <c r="C14" s="77">
        <v>2023</v>
      </c>
      <c r="D14" s="83" t="s">
        <v>248</v>
      </c>
      <c r="E14" s="83" t="s">
        <v>215</v>
      </c>
      <c r="F14" s="79"/>
    </row>
    <row r="15" spans="2:6" ht="57.6">
      <c r="B15" s="78" t="s">
        <v>249</v>
      </c>
      <c r="C15" s="77">
        <v>2023</v>
      </c>
      <c r="D15" s="69" t="s">
        <v>250</v>
      </c>
      <c r="E15" s="69" t="s">
        <v>251</v>
      </c>
      <c r="F15" s="79"/>
    </row>
    <row r="16" spans="2:6" ht="15.6">
      <c r="B16" s="147" t="s">
        <v>252</v>
      </c>
      <c r="C16" s="148">
        <v>2023</v>
      </c>
      <c r="D16" s="149"/>
      <c r="E16" s="149" t="s">
        <v>253</v>
      </c>
      <c r="F16" s="153" t="s">
        <v>237</v>
      </c>
    </row>
    <row r="17" spans="2:6" ht="15.6">
      <c r="B17" s="147" t="s">
        <v>254</v>
      </c>
      <c r="C17" s="148">
        <v>2019</v>
      </c>
      <c r="D17" s="149"/>
      <c r="E17" s="83" t="s">
        <v>215</v>
      </c>
      <c r="F17" s="153" t="s">
        <v>255</v>
      </c>
    </row>
    <row r="18" spans="2:6" ht="15.6">
      <c r="B18" s="147" t="s">
        <v>209</v>
      </c>
      <c r="C18" s="148">
        <v>2019</v>
      </c>
      <c r="D18" s="149"/>
      <c r="E18" s="83" t="s">
        <v>215</v>
      </c>
      <c r="F18" s="153" t="s">
        <v>255</v>
      </c>
    </row>
    <row r="19" spans="2:6" ht="43.2">
      <c r="B19" s="147" t="s">
        <v>256</v>
      </c>
      <c r="C19" s="148">
        <v>2015</v>
      </c>
      <c r="D19" s="149"/>
      <c r="E19" s="149" t="s">
        <v>257</v>
      </c>
      <c r="F19" s="150"/>
    </row>
    <row r="20" spans="2:6" ht="15.6">
      <c r="B20" s="147" t="s">
        <v>258</v>
      </c>
      <c r="C20" s="148">
        <v>2021</v>
      </c>
      <c r="D20" s="149"/>
      <c r="E20" s="149"/>
      <c r="F20" s="153" t="s">
        <v>259</v>
      </c>
    </row>
    <row r="21" spans="2:6">
      <c r="B21" s="147"/>
      <c r="C21" s="148"/>
      <c r="D21" s="149"/>
      <c r="E21" s="149"/>
      <c r="F21" s="150"/>
    </row>
    <row r="22" spans="2:6">
      <c r="B22" s="147"/>
      <c r="C22" s="148"/>
      <c r="D22" s="149"/>
      <c r="E22" s="149"/>
      <c r="F22" s="150"/>
    </row>
    <row r="23" spans="2:6" ht="15" thickBot="1">
      <c r="B23" s="80"/>
      <c r="C23" s="81"/>
      <c r="D23" s="82"/>
      <c r="E23" s="84"/>
      <c r="F23" s="152"/>
    </row>
  </sheetData>
  <hyperlinks>
    <hyperlink ref="F9" r:id="rId1" xr:uid="{21031A39-9864-524B-B305-D52383A049D8}"/>
    <hyperlink ref="F10" r:id="rId2" xr:uid="{72E29298-E225-E24C-B634-3B689DAEA5D9}"/>
    <hyperlink ref="F11" r:id="rId3" xr:uid="{2C8AE491-FF41-8C40-8320-88693E2783AC}"/>
    <hyperlink ref="E11" r:id="rId4" xr:uid="{938F30DB-4C03-7F4D-82C8-26A28C7DC79E}"/>
    <hyperlink ref="F12" r:id="rId5" xr:uid="{A8375802-EF29-6742-87FE-A8C7D06C6203}"/>
    <hyperlink ref="F16" r:id="rId6" xr:uid="{7A498853-B12C-9047-8BF3-1EB84C2F70A7}"/>
    <hyperlink ref="F17" r:id="rId7" xr:uid="{555C906C-5A78-5F44-BE55-DA652F8D181E}"/>
    <hyperlink ref="F18" r:id="rId8" xr:uid="{6FFBFF4A-BCD6-1E46-9FAF-6D84A04FC86B}"/>
    <hyperlink ref="F20" r:id="rId9" xr:uid="{791506CE-CDF1-194F-86AC-0112451BBCE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C0EB5-1020-B845-938A-5B938DC002C2}">
  <sheetPr>
    <tabColor theme="8"/>
  </sheetPr>
  <dimension ref="A1:AS621"/>
  <sheetViews>
    <sheetView showGridLines="0" zoomScale="133" workbookViewId="0">
      <pane ySplit="1" topLeftCell="A2" activePane="bottomLeft" state="frozen"/>
      <selection activeCell="B43" sqref="B43"/>
      <selection pane="bottomLeft" activeCell="B43" sqref="B43"/>
    </sheetView>
  </sheetViews>
  <sheetFormatPr defaultColWidth="10.796875" defaultRowHeight="14.4"/>
  <cols>
    <col min="1" max="1" width="23.296875" style="11" bestFit="1" customWidth="1"/>
    <col min="2" max="2" width="9.296875" style="11" customWidth="1"/>
    <col min="3" max="3" width="20.296875" style="11" bestFit="1" customWidth="1"/>
    <col min="4" max="4" width="17.69921875" style="11" bestFit="1" customWidth="1"/>
    <col min="5" max="5" width="22.796875" style="11" customWidth="1"/>
    <col min="6" max="6" width="9.796875" style="14" bestFit="1" customWidth="1"/>
    <col min="7" max="31" width="15.796875" style="144" customWidth="1"/>
    <col min="32" max="36" width="15.796875" style="11" customWidth="1"/>
    <col min="37" max="16384" width="10.796875" style="11"/>
  </cols>
  <sheetData>
    <row r="1" spans="1:45" s="159" customFormat="1" ht="62.4">
      <c r="A1" s="117"/>
      <c r="B1" s="117"/>
      <c r="C1" s="117"/>
      <c r="D1" s="117"/>
      <c r="E1" s="117"/>
      <c r="F1" s="117"/>
      <c r="G1" s="143" t="s">
        <v>260</v>
      </c>
      <c r="H1" s="143" t="s">
        <v>261</v>
      </c>
      <c r="I1" s="143" t="s">
        <v>262</v>
      </c>
      <c r="J1" s="143" t="s">
        <v>263</v>
      </c>
      <c r="K1" s="143" t="s">
        <v>264</v>
      </c>
      <c r="L1" s="143" t="s">
        <v>265</v>
      </c>
      <c r="M1" s="143" t="s">
        <v>266</v>
      </c>
      <c r="N1" s="143" t="s">
        <v>267</v>
      </c>
      <c r="O1" s="143" t="s">
        <v>268</v>
      </c>
      <c r="P1" s="143" t="s">
        <v>269</v>
      </c>
      <c r="Q1" s="143" t="s">
        <v>270</v>
      </c>
      <c r="R1" s="143" t="s">
        <v>270</v>
      </c>
      <c r="S1" s="143" t="s">
        <v>271</v>
      </c>
      <c r="T1" s="143" t="s">
        <v>272</v>
      </c>
      <c r="U1" s="143" t="s">
        <v>273</v>
      </c>
      <c r="V1" s="143" t="s">
        <v>274</v>
      </c>
      <c r="W1" s="143" t="s">
        <v>275</v>
      </c>
      <c r="X1" s="143" t="s">
        <v>276</v>
      </c>
      <c r="Y1" s="143" t="s">
        <v>277</v>
      </c>
      <c r="Z1" s="143" t="s">
        <v>278</v>
      </c>
      <c r="AA1" s="143" t="s">
        <v>279</v>
      </c>
      <c r="AB1" s="143" t="s">
        <v>280</v>
      </c>
      <c r="AC1" s="143" t="s">
        <v>280</v>
      </c>
      <c r="AD1" s="143" t="s">
        <v>281</v>
      </c>
      <c r="AE1" s="143" t="s">
        <v>281</v>
      </c>
      <c r="AF1" s="118" t="s">
        <v>282</v>
      </c>
      <c r="AG1" s="143" t="s">
        <v>283</v>
      </c>
      <c r="AH1" s="143" t="s">
        <v>284</v>
      </c>
      <c r="AI1" s="143" t="s">
        <v>285</v>
      </c>
      <c r="AJ1" s="143" t="s">
        <v>286</v>
      </c>
    </row>
    <row r="2" spans="1:45" ht="72">
      <c r="A2" s="117"/>
      <c r="B2" s="117"/>
      <c r="C2" s="117"/>
      <c r="D2" s="117"/>
      <c r="E2" s="117"/>
      <c r="F2" s="117"/>
      <c r="G2" s="154" t="s">
        <v>24</v>
      </c>
      <c r="H2" s="154" t="s">
        <v>32</v>
      </c>
      <c r="I2" s="154" t="s">
        <v>29</v>
      </c>
      <c r="J2" s="154" t="s">
        <v>21</v>
      </c>
      <c r="K2" s="154" t="s">
        <v>34</v>
      </c>
      <c r="L2" s="154" t="s">
        <v>31</v>
      </c>
      <c r="M2" s="154" t="s">
        <v>23</v>
      </c>
      <c r="N2" s="154" t="s">
        <v>23</v>
      </c>
      <c r="O2" s="154" t="s">
        <v>19</v>
      </c>
      <c r="P2" s="154" t="s">
        <v>19</v>
      </c>
      <c r="Q2" s="154" t="s">
        <v>28</v>
      </c>
      <c r="R2" s="154" t="s">
        <v>30</v>
      </c>
      <c r="S2" s="154" t="s">
        <v>20</v>
      </c>
      <c r="T2" s="154" t="s">
        <v>287</v>
      </c>
      <c r="U2" s="154" t="s">
        <v>26</v>
      </c>
      <c r="V2" s="154" t="s">
        <v>288</v>
      </c>
      <c r="W2" s="154" t="s">
        <v>25</v>
      </c>
      <c r="X2" s="154" t="s">
        <v>16</v>
      </c>
      <c r="Y2" s="154" t="s">
        <v>27</v>
      </c>
      <c r="Z2" s="154" t="s">
        <v>289</v>
      </c>
      <c r="AA2" s="154" t="s">
        <v>290</v>
      </c>
      <c r="AB2" s="154" t="s">
        <v>18</v>
      </c>
      <c r="AC2" s="154" t="s">
        <v>22</v>
      </c>
      <c r="AD2" s="154" t="s">
        <v>291</v>
      </c>
      <c r="AE2" s="154" t="s">
        <v>33</v>
      </c>
      <c r="AF2" s="154" t="s">
        <v>282</v>
      </c>
      <c r="AG2" s="154" t="s">
        <v>292</v>
      </c>
      <c r="AH2" s="154" t="s">
        <v>293</v>
      </c>
      <c r="AI2" s="154" t="s">
        <v>294</v>
      </c>
      <c r="AJ2" s="154" t="s">
        <v>295</v>
      </c>
    </row>
    <row r="3" spans="1:45" ht="31.2">
      <c r="A3" s="117" t="s">
        <v>36</v>
      </c>
      <c r="B3" s="117" t="s">
        <v>296</v>
      </c>
      <c r="C3" s="117" t="s">
        <v>297</v>
      </c>
      <c r="D3" s="117" t="s">
        <v>298</v>
      </c>
      <c r="E3" s="117" t="s">
        <v>299</v>
      </c>
      <c r="F3" s="117" t="s">
        <v>35</v>
      </c>
      <c r="G3" s="154" t="s">
        <v>300</v>
      </c>
      <c r="H3" s="154" t="s">
        <v>301</v>
      </c>
      <c r="I3" s="154" t="s">
        <v>302</v>
      </c>
      <c r="J3" s="154" t="s">
        <v>302</v>
      </c>
      <c r="K3" s="154" t="s">
        <v>302</v>
      </c>
      <c r="L3" s="154" t="s">
        <v>303</v>
      </c>
      <c r="M3" s="154" t="s">
        <v>304</v>
      </c>
      <c r="N3" s="154" t="s">
        <v>304</v>
      </c>
      <c r="O3" s="154" t="s">
        <v>305</v>
      </c>
      <c r="P3" s="154" t="s">
        <v>305</v>
      </c>
      <c r="Q3" s="154" t="s">
        <v>302</v>
      </c>
      <c r="R3" s="154" t="s">
        <v>302</v>
      </c>
      <c r="S3" s="154" t="s">
        <v>306</v>
      </c>
      <c r="T3" s="154" t="s">
        <v>307</v>
      </c>
      <c r="U3" s="154" t="s">
        <v>307</v>
      </c>
      <c r="V3" s="154" t="s">
        <v>307</v>
      </c>
      <c r="W3" s="154" t="s">
        <v>308</v>
      </c>
      <c r="X3" s="154" t="s">
        <v>309</v>
      </c>
      <c r="Y3" s="154" t="s">
        <v>310</v>
      </c>
      <c r="Z3" s="154" t="s">
        <v>310</v>
      </c>
      <c r="AA3" s="154" t="s">
        <v>310</v>
      </c>
      <c r="AB3" s="154" t="s">
        <v>311</v>
      </c>
      <c r="AC3" s="154" t="s">
        <v>311</v>
      </c>
      <c r="AD3" s="154" t="s">
        <v>312</v>
      </c>
      <c r="AE3" s="154" t="s">
        <v>312</v>
      </c>
      <c r="AF3" s="154" t="s">
        <v>313</v>
      </c>
      <c r="AG3" s="154" t="s">
        <v>307</v>
      </c>
      <c r="AH3" s="154" t="s">
        <v>307</v>
      </c>
      <c r="AI3" s="154" t="s">
        <v>307</v>
      </c>
      <c r="AJ3" s="154" t="s">
        <v>307</v>
      </c>
    </row>
    <row r="4" spans="1:45">
      <c r="A4" s="120" t="s">
        <v>314</v>
      </c>
      <c r="B4" s="120" t="s">
        <v>315</v>
      </c>
      <c r="C4" s="120" t="s">
        <v>314</v>
      </c>
      <c r="D4" s="120" t="s">
        <v>314</v>
      </c>
      <c r="E4" s="120" t="s">
        <v>316</v>
      </c>
      <c r="F4" s="121">
        <v>2023</v>
      </c>
      <c r="G4" s="123">
        <f>'Parameters | Agora'!$B$4*0.0000869663607295715</f>
        <v>5.1698022799301073</v>
      </c>
      <c r="H4" s="123">
        <f>'Parameters | Agora'!$B$4*2.59532051350803E-06</f>
        <v>0.15428142324599836</v>
      </c>
      <c r="I4" s="123">
        <f>'Parameters | Agora'!$B$4*6.31687247955237E-07</f>
        <v>3.7551280141947016E-2</v>
      </c>
      <c r="J4" s="123">
        <f>'Parameters | Agora'!$B$4*1.29312154082803E-07</f>
        <v>7.6870903116063065E-3</v>
      </c>
      <c r="K4" s="123">
        <f>'Parameters | Agora'!$B$4*1.52059894313878E-07</f>
        <v>9.0393524773827918E-3</v>
      </c>
      <c r="L4" s="123">
        <f>'Parameters | Agora'!$B$4*7.28231373129231E-06</f>
        <v>0.43290442207040264</v>
      </c>
      <c r="M4" s="123">
        <f>'Parameters | Agora'!$B$4*0.0000691108785822718</f>
        <v>4.1083652882017292</v>
      </c>
      <c r="N4" s="123">
        <f>'Parameters | Agora'!$B$4*0.0000485080282262961</f>
        <v>2.883608245940398</v>
      </c>
      <c r="O4" s="123">
        <f>'Parameters | Agora'!$B$4*0.0000884290787679376</f>
        <v>5.2567550164388184</v>
      </c>
      <c r="P4" s="123">
        <f>'Parameters | Agora'!$B$4*0.000176364844906687</f>
        <v>10.484184570322915</v>
      </c>
      <c r="Q4" s="123">
        <f>'Parameters | Agora'!$B$4*0.00000332</f>
        <v>0.19736071999999999</v>
      </c>
      <c r="R4" s="123">
        <f>'Parameters | Agora'!$B$4*0.000000228</f>
        <v>1.3553688E-2</v>
      </c>
      <c r="S4" s="123">
        <f>'Parameters | Agora'!$B$4*0.000000010795</f>
        <v>6.4171957000000001E-4</v>
      </c>
      <c r="T4" s="123">
        <f>'Parameters | Agora'!$B$4*6.52634487789824E-07</f>
        <v>3.8796509761153876E-2</v>
      </c>
      <c r="U4" s="123">
        <f>'Parameters | Agora'!$B$4*9.88840140796452E-07</f>
        <v>5.8782591009785889E-2</v>
      </c>
      <c r="V4" s="123">
        <f>'Parameters | Agora'!$B$4*9.88840140796452E-07</f>
        <v>5.8782591009785889E-2</v>
      </c>
      <c r="W4" s="123">
        <f>'Parameters | Agora'!$B$4*3.88785344054027E-06</f>
        <v>0.23111733562635689</v>
      </c>
      <c r="X4" s="123">
        <f>'Parameters | Agora'!$B$4*0.000531</f>
        <v>31.565826000000001</v>
      </c>
      <c r="Y4" s="123">
        <f>'Parameters | Agora'!$B$4*0.000994986046152474</f>
        <v>59.147940499579967</v>
      </c>
      <c r="Z4" s="123">
        <f>'Parameters | Agora'!$B$4*0.000919699168975998</f>
        <v>54.672436798947174</v>
      </c>
      <c r="AA4" s="123">
        <f>'Parameters | Agora'!$B$4*0.00104567593807742</f>
        <v>62.161251814950312</v>
      </c>
      <c r="AB4" s="123">
        <f>'Parameters | Agora'!$B$4*0.00000091</f>
        <v>5.4095859999999996E-2</v>
      </c>
      <c r="AC4" s="123">
        <f>'Parameters | Agora'!$B$4*0.0000768619093723345</f>
        <v>4.5691330645477963</v>
      </c>
      <c r="AD4" s="123">
        <f>'Parameters | Agora'!$B$4*1.67290712488374E-06</f>
        <v>9.9447636945838816E-2</v>
      </c>
      <c r="AE4" s="123">
        <f>'Parameters | Agora'!$B$4*1.67290712488374E-06</f>
        <v>9.9447636945838816E-2</v>
      </c>
      <c r="AF4" s="123">
        <f>'Parameters | Agora'!$B$4*0.000281365323992451</f>
        <v>16.726043050055242</v>
      </c>
      <c r="AG4" s="123">
        <f>'Parameters | Agora'!$B$4*4.38352733341544E-07</f>
        <v>2.6058316586221424E-2</v>
      </c>
      <c r="AH4" s="123">
        <f>'Parameters | Agora'!$B$4*5.1915798713214E-07</f>
        <v>3.0861865703057195E-2</v>
      </c>
      <c r="AI4" s="123">
        <f>'Parameters | Agora'!$B$4*2.72479917951986E-08</f>
        <v>1.6197841202573761E-3</v>
      </c>
      <c r="AJ4" s="123">
        <f>'Parameters | Agora'!$B$4*4.0814285275692E-09</f>
        <v>2.4262460024987865E-4</v>
      </c>
    </row>
    <row r="5" spans="1:45">
      <c r="A5" s="120" t="s">
        <v>317</v>
      </c>
      <c r="B5" s="120" t="s">
        <v>318</v>
      </c>
      <c r="C5" s="120" t="s">
        <v>118</v>
      </c>
      <c r="D5" s="120" t="s">
        <v>319</v>
      </c>
      <c r="E5" s="120" t="s">
        <v>316</v>
      </c>
      <c r="F5" s="121">
        <v>2023</v>
      </c>
      <c r="G5" s="123">
        <f>'Parameters | Agora'!$B$4*0.000244395412029661</f>
        <v>14.528329663515228</v>
      </c>
      <c r="H5" s="123">
        <f>'Parameters | Agora'!$B$4*2.59532051350803E-06</f>
        <v>0.15428142324599836</v>
      </c>
      <c r="I5" s="123">
        <f>'Parameters | Agora'!$B$4*1.77518599079895E-06</f>
        <v>0.10552770640903439</v>
      </c>
      <c r="J5" s="123">
        <f>'Parameters | Agora'!$B$4*2.87307050554589E-07</f>
        <v>1.7079254927268098E-2</v>
      </c>
      <c r="K5" s="123">
        <f>'Parameters | Agora'!$B$4*4.2732316509814E-07</f>
        <v>2.540265287242403E-2</v>
      </c>
      <c r="L5" s="123">
        <f>'Parameters | Agora'!$B$4*7.28231373129231E-06</f>
        <v>0.43290442207040264</v>
      </c>
      <c r="M5" s="123">
        <f>'Parameters | Agora'!$B$4*0</f>
        <v>0</v>
      </c>
      <c r="N5" s="123">
        <f>'Parameters | Agora'!$B$4*0</f>
        <v>0</v>
      </c>
      <c r="O5" s="123">
        <f>'Parameters | Agora'!$B$4*0.000129251398541164</f>
        <v>7.6834786376780357</v>
      </c>
      <c r="P5" s="123">
        <f>'Parameters | Agora'!$B$4*0.000283924970418148</f>
        <v>16.878203791477226</v>
      </c>
      <c r="Q5" s="123">
        <f>'Parameters | Agora'!$B$4*0.00000332</f>
        <v>0.19736071999999999</v>
      </c>
      <c r="R5" s="123">
        <f>'Parameters | Agora'!$B$4*0.000000228</f>
        <v>1.3553688E-2</v>
      </c>
      <c r="S5" s="123">
        <f>'Parameters | Agora'!$B$4*0.000000010795</f>
        <v>6.4171957000000001E-4</v>
      </c>
      <c r="T5" s="123">
        <f>'Parameters | Agora'!$B$4*4.52464271155935E-07</f>
        <v>2.6897191063135713E-2</v>
      </c>
      <c r="U5" s="123">
        <f>'Parameters | Agora'!$B$4*9.14543607312185E-07</f>
        <v>5.4365959280280152E-2</v>
      </c>
      <c r="V5" s="123">
        <f>'Parameters | Agora'!$B$4*9.14543607312185E-07</f>
        <v>5.4365959280280152E-2</v>
      </c>
      <c r="W5" s="123">
        <f>'Parameters | Agora'!$B$4*3.88785344054027E-06</f>
        <v>0.23111733562635689</v>
      </c>
      <c r="X5" s="123">
        <f>'Parameters | Agora'!$B$4*0.000531</f>
        <v>31.565826000000001</v>
      </c>
      <c r="Y5" s="123">
        <f>'Parameters | Agora'!$B$4*0.00154537378884845</f>
        <v>91.866290251884962</v>
      </c>
      <c r="Z5" s="123">
        <f>'Parameters | Agora'!$B$4*0.00138487649504742</f>
        <v>82.325368124588934</v>
      </c>
      <c r="AA5" s="123">
        <f>'Parameters | Agora'!$B$4*0.00185944399397528</f>
        <v>110.5365076658545</v>
      </c>
      <c r="AB5" s="123">
        <f>'Parameters | Agora'!$B$4*0.00000091</f>
        <v>5.4095859999999996E-2</v>
      </c>
      <c r="AC5" s="123">
        <f>'Parameters | Agora'!$B$4*0.000215999587114501</f>
        <v>12.840311455608626</v>
      </c>
      <c r="AD5" s="123">
        <f>'Parameters | Agora'!$B$4*2.35403177171448E-06</f>
        <v>0.13993777270133897</v>
      </c>
      <c r="AE5" s="123">
        <f>'Parameters | Agora'!$B$4*2.35403177171448E-06</f>
        <v>0.13993777270133897</v>
      </c>
      <c r="AF5" s="123">
        <f>'Parameters | Agora'!$B$4*0.000281365323992451</f>
        <v>16.726043050055242</v>
      </c>
      <c r="AG5" s="123">
        <f>'Parameters | Agora'!$B$4*1.26289985946208E-07</f>
        <v>7.5074345045582818E-3</v>
      </c>
      <c r="AH5" s="123">
        <f>'Parameters | Agora'!$B$4*7.99148382014606E-07</f>
        <v>4.7506174717240265E-2</v>
      </c>
      <c r="AI5" s="123">
        <f>-'Parameters | Agora'!$B$4*1.32561070979788E-08</f>
        <v>-7.8802254254644775E-4</v>
      </c>
      <c r="AJ5" s="123">
        <f>'Parameters | Agora'!$B$4*2.36134644934853E-09</f>
        <v>1.4037260102797272E-4</v>
      </c>
    </row>
    <row r="6" spans="1:45">
      <c r="A6" s="120" t="s">
        <v>320</v>
      </c>
      <c r="B6" s="120" t="s">
        <v>321</v>
      </c>
      <c r="C6" s="120" t="s">
        <v>115</v>
      </c>
      <c r="D6" s="120" t="s">
        <v>322</v>
      </c>
      <c r="E6" s="120" t="s">
        <v>316</v>
      </c>
      <c r="F6" s="121">
        <v>2023</v>
      </c>
      <c r="G6" s="123">
        <f>'Parameters | Agora'!$B$4*0.0000652882157221503</f>
        <v>3.8811232718189466</v>
      </c>
      <c r="H6" s="123">
        <f>'Parameters | Agora'!$B$4*2.59532051350803E-06</f>
        <v>0.15428142324599836</v>
      </c>
      <c r="I6" s="123">
        <f>'Parameters | Agora'!$B$4*8.77757331654699E-07</f>
        <v>5.2179162337545236E-2</v>
      </c>
      <c r="J6" s="123">
        <f>'Parameters | Agora'!$B$4*4.88936917779182E-08</f>
        <v>2.9065344014301254E-3</v>
      </c>
      <c r="K6" s="123">
        <f>'Parameters | Agora'!$B$4*2.11293939392779E-07</f>
        <v>1.2560579521143141E-2</v>
      </c>
      <c r="L6" s="123">
        <f>'Parameters | Agora'!$B$4*7.28231373129231E-06</f>
        <v>0.43290442207040264</v>
      </c>
      <c r="M6" s="123">
        <f>'Parameters | Agora'!$B$4*0.0000512085533735516</f>
        <v>3.0441436638441486</v>
      </c>
      <c r="N6" s="123">
        <f>'Parameters | Agora'!$B$4*0.000013154605651108</f>
        <v>0.78198868753576622</v>
      </c>
      <c r="O6" s="123">
        <f>'Parameters | Agora'!$B$4*0.000021465408229635</f>
        <v>1.2760326576188823</v>
      </c>
      <c r="P6" s="123">
        <f>'Parameters | Agora'!$B$4*0.0000609948083315285</f>
        <v>3.6258973760760433</v>
      </c>
      <c r="Q6" s="123">
        <f>'Parameters | Agora'!$B$4*0.00000332</f>
        <v>0.19736071999999999</v>
      </c>
      <c r="R6" s="123">
        <f>'Parameters | Agora'!$B$4*0.000000228</f>
        <v>1.3553688E-2</v>
      </c>
      <c r="S6" s="123">
        <f>'Parameters | Agora'!$B$4*0.000000010795</f>
        <v>6.4171957000000001E-4</v>
      </c>
      <c r="T6" s="123">
        <f>'Parameters | Agora'!$B$4*1.84974494109244E-06</f>
        <v>0.10995993776818119</v>
      </c>
      <c r="U6" s="123">
        <f>'Parameters | Agora'!$B$4*1.97790226451246E-06</f>
        <v>0.11757837801620769</v>
      </c>
      <c r="V6" s="123">
        <f>'Parameters | Agora'!$B$4*1.97790226451246E-06</f>
        <v>0.11757837801620769</v>
      </c>
      <c r="W6" s="123">
        <f>'Parameters | Agora'!$B$4*3.88785344054027E-06</f>
        <v>0.23111733562635689</v>
      </c>
      <c r="X6" s="123">
        <f>'Parameters | Agora'!$B$4*0.000531</f>
        <v>31.565826000000001</v>
      </c>
      <c r="Y6" s="123">
        <f>'Parameters | Agora'!$B$4*0.00114159826584398</f>
        <v>67.863450511361236</v>
      </c>
      <c r="Z6" s="123">
        <f>'Parameters | Agora'!$B$4*0.00109742093737459</f>
        <v>65.237285043169877</v>
      </c>
      <c r="AA6" s="123">
        <f>'Parameters | Agora'!$B$4*0.00116263508892464</f>
        <v>69.114005496214148</v>
      </c>
      <c r="AB6" s="123">
        <f>'Parameters | Agora'!$B$4*0.00000091</f>
        <v>5.4095859999999996E-2</v>
      </c>
      <c r="AC6" s="123">
        <f>'Parameters | Agora'!$B$4*0.0000577025056334339</f>
        <v>3.4301831498851114</v>
      </c>
      <c r="AD6" s="123">
        <f>'Parameters | Agora'!$B$4*2.61475979257333E-06</f>
        <v>0.15543701062931417</v>
      </c>
      <c r="AE6" s="123">
        <f>'Parameters | Agora'!$B$4*2.61475979257333E-06</f>
        <v>0.15543701062931417</v>
      </c>
      <c r="AF6" s="123">
        <f>'Parameters | Agora'!$B$4*0.000281365323992451</f>
        <v>16.726043050055242</v>
      </c>
      <c r="AG6" s="123">
        <f>'Parameters | Agora'!$B$4*1.14566481013118E-06</f>
        <v>6.8105190303058116E-2</v>
      </c>
      <c r="AH6" s="123">
        <f>'Parameters | Agora'!$B$4*6.05556366987218E-07</f>
        <v>3.5997903791922164E-2</v>
      </c>
      <c r="AI6" s="123">
        <f>'Parameters | Agora'!$B$4*2.17085089253936E-07</f>
        <v>1.2904840215789479E-2</v>
      </c>
      <c r="AJ6" s="123">
        <f>'Parameters | Agora'!$B$4*9.59599814013322E-09</f>
        <v>5.7044370543835943E-4</v>
      </c>
    </row>
    <row r="7" spans="1:45">
      <c r="A7" s="120" t="s">
        <v>323</v>
      </c>
      <c r="B7" s="120" t="s">
        <v>324</v>
      </c>
      <c r="C7" s="120" t="s">
        <v>117</v>
      </c>
      <c r="D7" s="120" t="s">
        <v>325</v>
      </c>
      <c r="E7" s="120" t="s">
        <v>316</v>
      </c>
      <c r="F7" s="121">
        <v>2023</v>
      </c>
      <c r="G7" s="123">
        <f>'Parameters | Agora'!$B$4*0.000119697800443284</f>
        <v>7.1155554451514611</v>
      </c>
      <c r="H7" s="123">
        <f>'Parameters | Agora'!$B$4*2.59532051350803E-06</f>
        <v>0.15428142324599836</v>
      </c>
      <c r="I7" s="123">
        <f>'Parameters | Agora'!$B$4*8.69434727565903E-07</f>
        <v>5.1684416814882672E-2</v>
      </c>
      <c r="J7" s="123">
        <f>'Parameters | Agora'!$B$4*1.25062212908419E-07</f>
        <v>7.4344483085538758E-3</v>
      </c>
      <c r="K7" s="123">
        <f>'Parameters | Agora'!$B$4*2.0929052029218E-07</f>
        <v>1.2441484269288932E-2</v>
      </c>
      <c r="L7" s="123">
        <f>'Parameters | Agora'!$B$4*7.28231373129231E-06</f>
        <v>0.43290442207040264</v>
      </c>
      <c r="M7" s="123">
        <f>'Parameters | Agora'!$B$4*0.0000506490383691475</f>
        <v>3.0108827348923426</v>
      </c>
      <c r="N7" s="123">
        <f>'Parameters | Agora'!$B$4*0.0000243401066471368</f>
        <v>1.4469219797456943</v>
      </c>
      <c r="O7" s="123">
        <f>'Parameters | Agora'!$B$4*0.0000319123765593999</f>
        <v>1.8970631369500865</v>
      </c>
      <c r="P7" s="123">
        <f>'Parameters | Agora'!$B$4*0.0000576762783492858</f>
        <v>3.4286240427516437</v>
      </c>
      <c r="Q7" s="123">
        <f>'Parameters | Agora'!$B$4*0.00000332</f>
        <v>0.19736071999999999</v>
      </c>
      <c r="R7" s="123">
        <f>'Parameters | Agora'!$B$4*0.000000228</f>
        <v>1.3553688E-2</v>
      </c>
      <c r="S7" s="123">
        <f>'Parameters | Agora'!$B$4*0.000000010795</f>
        <v>6.4171957000000001E-4</v>
      </c>
      <c r="T7" s="123">
        <f>'Parameters | Agora'!$B$4*4.02630439185444E-07</f>
        <v>2.3934769087817904E-2</v>
      </c>
      <c r="U7" s="123">
        <f>'Parameters | Agora'!$B$4*2.62618615414159E-07</f>
        <v>1.5611626211910095E-2</v>
      </c>
      <c r="V7" s="123">
        <f>'Parameters | Agora'!$B$4*2.62618615414159E-07</f>
        <v>1.5611626211910095E-2</v>
      </c>
      <c r="W7" s="123">
        <f>'Parameters | Agora'!$B$4*3.88785344054027E-06</f>
        <v>0.23111733562635689</v>
      </c>
      <c r="X7" s="123">
        <f>'Parameters | Agora'!$B$4*0.000531</f>
        <v>31.565826000000001</v>
      </c>
      <c r="Y7" s="123">
        <f>'Parameters | Agora'!$B$4*0.00066112160935311</f>
        <v>39.301035189604981</v>
      </c>
      <c r="Z7" s="123">
        <f>'Parameters | Agora'!$B$4*0.000652376614520397</f>
        <v>38.781180226779519</v>
      </c>
      <c r="AA7" s="123">
        <f>'Parameters | Agora'!$B$4*0.000666077106424981</f>
        <v>39.59561966853942</v>
      </c>
      <c r="AB7" s="123">
        <f>'Parameters | Agora'!$B$4*0.00000091</f>
        <v>5.4095859999999996E-2</v>
      </c>
      <c r="AC7" s="123">
        <f>'Parameters | Agora'!$B$4*0.000105790347124541</f>
        <v>6.288812975165464</v>
      </c>
      <c r="AD7" s="123">
        <f>'Parameters | Agora'!$B$4*1.86021007987305E-06</f>
        <v>0.11058204840813333</v>
      </c>
      <c r="AE7" s="123">
        <f>'Parameters | Agora'!$B$4*1.86021007987305E-06</f>
        <v>0.11058204840813333</v>
      </c>
      <c r="AF7" s="123">
        <f>'Parameters | Agora'!$B$4*0.000281365323992451</f>
        <v>16.726043050055242</v>
      </c>
      <c r="AG7" s="123">
        <f>'Parameters | Agora'!$B$4*2.52658351532846E-07</f>
        <v>1.5019528365221564E-2</v>
      </c>
      <c r="AH7" s="123">
        <f>'Parameters | Agora'!$B$4*9.18616307551087E-09</f>
        <v>5.4608065018681921E-4</v>
      </c>
      <c r="AI7" s="123">
        <f>'Parameters | Agora'!$B$4*5.34206976417034E-10</f>
        <v>3.1756467920087008E-5</v>
      </c>
      <c r="AJ7" s="123">
        <f>'Parameters | Agora'!$B$4*2.39893829385122E-10</f>
        <v>1.4260728581627962E-5</v>
      </c>
    </row>
    <row r="8" spans="1:45">
      <c r="A8" s="120" t="s">
        <v>326</v>
      </c>
      <c r="B8" s="120" t="s">
        <v>327</v>
      </c>
      <c r="C8" s="120" t="s">
        <v>119</v>
      </c>
      <c r="D8" s="120" t="s">
        <v>325</v>
      </c>
      <c r="E8" s="120" t="s">
        <v>316</v>
      </c>
      <c r="F8" s="121">
        <v>2023</v>
      </c>
      <c r="G8" s="123">
        <f>'Parameters | Agora'!$B$4*0.000115057239029042</f>
        <v>6.83969263132043</v>
      </c>
      <c r="H8" s="123">
        <f>'Parameters | Agora'!$B$4*2.59532051350803E-06</f>
        <v>0.15428142324599836</v>
      </c>
      <c r="I8" s="123">
        <f>'Parameters | Agora'!$B$4*8.35727631579156E-07</f>
        <v>4.9680664786854505E-2</v>
      </c>
      <c r="J8" s="123">
        <f>'Parameters | Agora'!$B$4*2.24299408328451E-07</f>
        <v>1.3333702627493097E-2</v>
      </c>
      <c r="K8" s="123">
        <f>'Parameters | Agora'!$B$4*2.01176540676534E-07</f>
        <v>1.195914063705724E-2</v>
      </c>
      <c r="L8" s="123">
        <f>'Parameters | Agora'!$B$4*7.28231373129231E-06</f>
        <v>0.43290442207040264</v>
      </c>
      <c r="M8" s="123">
        <f>'Parameters | Agora'!$B$4*0.000647088712680501</f>
        <v>38.466835614005063</v>
      </c>
      <c r="N8" s="123">
        <f>'Parameters | Agora'!$B$4*0.000349800167120607</f>
        <v>20.794220734651603</v>
      </c>
      <c r="O8" s="123">
        <f>'Parameters | Agora'!$B$4*0.000240582438241055</f>
        <v>14.301663623677756</v>
      </c>
      <c r="P8" s="123">
        <f>'Parameters | Agora'!$B$4*0.000317367729881666</f>
        <v>18.866242070545518</v>
      </c>
      <c r="Q8" s="123">
        <f>'Parameters | Agora'!$B$4*0.00000332</f>
        <v>0.19736071999999999</v>
      </c>
      <c r="R8" s="123">
        <f>'Parameters | Agora'!$B$4*0.000000228</f>
        <v>1.3553688E-2</v>
      </c>
      <c r="S8" s="123">
        <f>'Parameters | Agora'!$B$4*0.000000010795</f>
        <v>6.4171957000000001E-4</v>
      </c>
      <c r="T8" s="123">
        <f>'Parameters | Agora'!$B$4*1.42292079182721E-06</f>
        <v>8.4586949390960328E-2</v>
      </c>
      <c r="U8" s="123">
        <f>'Parameters | Agora'!$B$4*2.31106056187279E-06</f>
        <v>0.13738330616108987</v>
      </c>
      <c r="V8" s="123">
        <f>'Parameters | Agora'!$B$4*2.31106056187279E-06</f>
        <v>0.13738330616108987</v>
      </c>
      <c r="W8" s="123">
        <f>'Parameters | Agora'!$B$4*3.88785344054027E-06</f>
        <v>0.23111733562635689</v>
      </c>
      <c r="X8" s="123">
        <f>'Parameters | Agora'!$B$4*0.000531</f>
        <v>31.565826000000001</v>
      </c>
      <c r="Y8" s="123">
        <f>'Parameters | Agora'!$B$4*0.000927548590998232</f>
        <v>55.139053540480894</v>
      </c>
      <c r="Z8" s="123">
        <f>'Parameters | Agora'!$B$4*0.000797432238579113</f>
        <v>47.404156854573948</v>
      </c>
      <c r="AA8" s="123">
        <f>'Parameters | Agora'!$B$4*0.00110376916277846</f>
        <v>65.614661650528333</v>
      </c>
      <c r="AB8" s="123">
        <f>'Parameters | Agora'!$B$4*0.00000091</f>
        <v>5.4095859999999996E-2</v>
      </c>
      <c r="AC8" s="123">
        <f>'Parameters | Agora'!$B$4*0.00010168896346463</f>
        <v>6.0450021221183947</v>
      </c>
      <c r="AD8" s="123">
        <f>'Parameters | Agora'!$B$4*1.78860185322813E-06</f>
        <v>0.10632522576699942</v>
      </c>
      <c r="AE8" s="123">
        <f>'Parameters | Agora'!$B$4*1.78860185322813E-06</f>
        <v>0.10632522576699942</v>
      </c>
      <c r="AF8" s="123">
        <f>'Parameters | Agora'!$B$4*0.000281365323992451</f>
        <v>16.726043050055242</v>
      </c>
      <c r="AG8" s="123">
        <f>'Parameters | Agora'!$B$4*0.0000012089245433404</f>
        <v>7.1865728403413418E-2</v>
      </c>
      <c r="AH8" s="123">
        <f>'Parameters | Agora'!$B$4*1.07813083658996E-06</f>
        <v>6.409056571192677E-2</v>
      </c>
      <c r="AI8" s="123">
        <f>'Parameters | Agora'!$B$4*1.98915831137553E-08</f>
        <v>1.1824750497802976E-3</v>
      </c>
      <c r="AJ8" s="123">
        <f>'Parameters | Agora'!$B$4*4.1135988286796E-09</f>
        <v>2.4453699596968748E-4</v>
      </c>
    </row>
    <row r="9" spans="1:45">
      <c r="A9" s="120" t="s">
        <v>328</v>
      </c>
      <c r="B9" s="120" t="s">
        <v>329</v>
      </c>
      <c r="C9" s="120" t="s">
        <v>116</v>
      </c>
      <c r="D9" s="120" t="s">
        <v>121</v>
      </c>
      <c r="E9" s="120" t="s">
        <v>316</v>
      </c>
      <c r="F9" s="121">
        <v>2023</v>
      </c>
      <c r="G9" s="123">
        <f>'Parameters | Agora'!$B$4*0.0000335919455771593</f>
        <v>1.9969067967798118</v>
      </c>
      <c r="H9" s="123">
        <f>'Parameters | Agora'!$B$4*2.59532051350803E-06</f>
        <v>0.15428142324599836</v>
      </c>
      <c r="I9" s="123">
        <f>'Parameters | Agora'!$B$4*1.07786782161148E-06</f>
        <v>6.4074930523516038E-2</v>
      </c>
      <c r="J9" s="123">
        <f>'Parameters | Agora'!$B$4*8.63343994036925E-08</f>
        <v>5.1322347069519044E-3</v>
      </c>
      <c r="K9" s="123">
        <f>'Parameters | Agora'!$B$4*2.59464580880989E-07</f>
        <v>1.542413147505127E-2</v>
      </c>
      <c r="L9" s="123">
        <f>'Parameters | Agora'!$B$4*7.28231373129231E-06</f>
        <v>0.43290442207040264</v>
      </c>
      <c r="M9" s="123">
        <f>'Parameters | Agora'!$B$4*0.0000600190337539823</f>
        <v>3.5678914805392319</v>
      </c>
      <c r="N9" s="123">
        <f>'Parameters | Agora'!$B$4*0.000679261983649258</f>
        <v>40.379407880013787</v>
      </c>
      <c r="O9" s="123">
        <f>'Parameters | Agora'!$B$4*0.000158887062755249</f>
        <v>9.4452003325485325</v>
      </c>
      <c r="P9" s="123">
        <f>'Parameters | Agora'!$B$4*0.000110409065948861</f>
        <v>6.5633773343959909</v>
      </c>
      <c r="Q9" s="123">
        <f>'Parameters | Agora'!$B$4*0.00000332</f>
        <v>0.19736071999999999</v>
      </c>
      <c r="R9" s="123">
        <f>'Parameters | Agora'!$B$4*0.000000228</f>
        <v>1.3553688E-2</v>
      </c>
      <c r="S9" s="123">
        <f>'Parameters | Agora'!$B$4*0.000000010795</f>
        <v>6.4171957000000001E-4</v>
      </c>
      <c r="T9" s="123">
        <f>'Parameters | Agora'!$B$4*0.0000018279905098191</f>
        <v>0.10866672384670623</v>
      </c>
      <c r="U9" s="123">
        <f>'Parameters | Agora'!$B$4*2.06563961109154E-06</f>
        <v>0.12279401232094769</v>
      </c>
      <c r="V9" s="123">
        <f>'Parameters | Agora'!$B$4*2.06563961109154E-06</f>
        <v>0.12279401232094769</v>
      </c>
      <c r="W9" s="123">
        <f>'Parameters | Agora'!$B$4*3.88785344054027E-06</f>
        <v>0.23111733562635689</v>
      </c>
      <c r="X9" s="123">
        <f>'Parameters | Agora'!$B$4*0.000531</f>
        <v>31.565826000000001</v>
      </c>
      <c r="Y9" s="123">
        <f>'Parameters | Agora'!$B$4*0.000325777118761442</f>
        <v>19.36614660189268</v>
      </c>
      <c r="Z9" s="123">
        <f>'Parameters | Agora'!$B$4*0.000318712072812399</f>
        <v>18.94615788040587</v>
      </c>
      <c r="AA9" s="123">
        <f>'Parameters | Agora'!$B$4*0.000330487149394137</f>
        <v>19.646139082883867</v>
      </c>
      <c r="AB9" s="123">
        <f>'Parameters | Agora'!$B$4*0.00000091</f>
        <v>5.4095859999999996E-2</v>
      </c>
      <c r="AC9" s="123">
        <f>'Parameters | Agora'!$B$4*0.0000296889631224279</f>
        <v>1.7648901017758489</v>
      </c>
      <c r="AD9" s="123">
        <f>'Parameters | Agora'!$B$4*2.03480819597193E-06</f>
        <v>0.12096120801774735</v>
      </c>
      <c r="AE9" s="123">
        <f>'Parameters | Agora'!$B$4*2.03480819597193E-06</f>
        <v>0.12096120801774735</v>
      </c>
      <c r="AF9" s="123">
        <f>'Parameters | Agora'!$B$4*0.000281365323992451</f>
        <v>16.726043050055242</v>
      </c>
      <c r="AG9" s="123">
        <f>'Parameters | Agora'!$B$4*0.0000016011796361403</f>
        <v>9.5183724649996276E-2</v>
      </c>
      <c r="AH9" s="123">
        <f>'Parameters | Agora'!$B$4*4.43509155010325E-07</f>
        <v>2.6364845228743779E-2</v>
      </c>
      <c r="AI9" s="123">
        <f>'Parameters | Agora'!$B$4*6.68797879554816E-09</f>
        <v>3.9757358748015591E-4</v>
      </c>
      <c r="AJ9" s="123">
        <f>'Parameters | Agora'!$B$4*1.42628411453684E-08</f>
        <v>8.4786885472756997E-4</v>
      </c>
    </row>
    <row r="10" spans="1:45">
      <c r="A10" s="120" t="s">
        <v>330</v>
      </c>
      <c r="B10" s="120" t="s">
        <v>331</v>
      </c>
      <c r="C10" s="120" t="s">
        <v>116</v>
      </c>
      <c r="D10" s="120" t="s">
        <v>322</v>
      </c>
      <c r="E10" s="120" t="s">
        <v>316</v>
      </c>
      <c r="F10" s="121">
        <v>2023</v>
      </c>
      <c r="G10" s="123">
        <f>'Parameters | Agora'!$B$4*0.0000463730277432562</f>
        <v>2.7566910072256077</v>
      </c>
      <c r="H10" s="123">
        <f>'Parameters | Agora'!$B$4*2.59532051350803E-06</f>
        <v>0.15428142324599836</v>
      </c>
      <c r="I10" s="123">
        <f>'Parameters | Agora'!$B$4*0.0000020222556229491</f>
        <v>0.12021500776183219</v>
      </c>
      <c r="J10" s="123">
        <f>'Parameters | Agora'!$B$4*8.63343994036925E-08</f>
        <v>5.1322347069519044E-3</v>
      </c>
      <c r="K10" s="123">
        <f>'Parameters | Agora'!$B$4*4.86797821701597E-07</f>
        <v>2.8938183308873138E-2</v>
      </c>
      <c r="L10" s="123">
        <f>'Parameters | Agora'!$B$4*7.28231373129231E-06</f>
        <v>0.43290442207040264</v>
      </c>
      <c r="M10" s="123">
        <f>'Parameters | Agora'!$B$4*0.0000970074220155449</f>
        <v>5.7667032091360815</v>
      </c>
      <c r="N10" s="123">
        <f>'Parameters | Agora'!$B$4*0.0000354172714821666</f>
        <v>2.1054151205288756</v>
      </c>
      <c r="O10" s="123">
        <f>'Parameters | Agora'!$B$4*0.0000191901754181966</f>
        <v>1.1407791679101151</v>
      </c>
      <c r="P10" s="123">
        <f>'Parameters | Agora'!$B$4*0.0000105675587512158</f>
        <v>0.62819909752477443</v>
      </c>
      <c r="Q10" s="123">
        <f>'Parameters | Agora'!$B$4*0.00000332</f>
        <v>0.19736071999999999</v>
      </c>
      <c r="R10" s="123">
        <f>'Parameters | Agora'!$B$4*0.000000228</f>
        <v>1.3553688E-2</v>
      </c>
      <c r="S10" s="123">
        <f>'Parameters | Agora'!$B$4*0.000000010795</f>
        <v>6.4171957000000001E-4</v>
      </c>
      <c r="T10" s="123">
        <f>'Parameters | Agora'!$B$4*1.72834076371122E-06</f>
        <v>0.10274294503957719</v>
      </c>
      <c r="U10" s="123">
        <f>'Parameters | Agora'!$B$4*0.0000020134130034648</f>
        <v>0.1196893494039685</v>
      </c>
      <c r="V10" s="123">
        <f>'Parameters | Agora'!$B$4*0.0000020134130034648</f>
        <v>0.1196893494039685</v>
      </c>
      <c r="W10" s="123">
        <f>'Parameters | Agora'!$B$4*3.88785344054027E-06</f>
        <v>0.23111733562635689</v>
      </c>
      <c r="X10" s="123">
        <f>'Parameters | Agora'!$B$4*0.000531</f>
        <v>31.565826000000001</v>
      </c>
      <c r="Y10" s="123">
        <f>'Parameters | Agora'!$B$4*0.000566826241229776</f>
        <v>33.695552736145267</v>
      </c>
      <c r="Z10" s="123">
        <f>'Parameters | Agora'!$B$4*0.000604959900315833</f>
        <v>35.962446234175012</v>
      </c>
      <c r="AA10" s="123">
        <f>'Parameters | Agora'!$B$4*0.00052869258214372</f>
        <v>31.428659238115582</v>
      </c>
      <c r="AB10" s="123">
        <f>'Parameters | Agora'!$B$4*0.00000091</f>
        <v>5.4095859999999996E-2</v>
      </c>
      <c r="AC10" s="123">
        <f>'Parameters | Agora'!$B$4*0.0000409850363499335</f>
        <v>2.4363964708581469</v>
      </c>
      <c r="AD10" s="123">
        <f>'Parameters | Agora'!$B$4*6.08583243585935E-06</f>
        <v>0.36177839498209491</v>
      </c>
      <c r="AE10" s="123">
        <f>'Parameters | Agora'!$B$4*6.08583243585935E-06</f>
        <v>0.36177839498209491</v>
      </c>
      <c r="AF10" s="123">
        <f>'Parameters | Agora'!$B$4*0.000281365323992451</f>
        <v>16.726043050055242</v>
      </c>
      <c r="AG10" s="123">
        <f>'Parameters | Agora'!$B$4*1.37703713991107E-06</f>
        <v>8.1859349819153465E-2</v>
      </c>
      <c r="AH10" s="123">
        <f>'Parameters | Agora'!$B$4*6.29932161682031E-07</f>
        <v>3.7446947283350018E-2</v>
      </c>
      <c r="AI10" s="123">
        <f>'Parameters | Agora'!$B$4*3.33595262719542E-10</f>
        <v>1.9830903987625893E-5</v>
      </c>
      <c r="AJ10" s="123">
        <f>'Parameters | Agora'!$B$4*6.11010660898112E-09</f>
        <v>3.6322139747749167E-4</v>
      </c>
    </row>
    <row r="11" spans="1:45" ht="15.6">
      <c r="A11" s="120" t="s">
        <v>332</v>
      </c>
      <c r="B11" s="120" t="s">
        <v>333</v>
      </c>
      <c r="C11" s="120" t="s">
        <v>115</v>
      </c>
      <c r="D11" s="120" t="s">
        <v>322</v>
      </c>
      <c r="E11" s="120" t="s">
        <v>316</v>
      </c>
      <c r="F11" s="121">
        <v>2023</v>
      </c>
      <c r="G11" s="123">
        <f>'Parameters | Agora'!$B$4*0.0000337173124484986</f>
        <v>2.004359355813448</v>
      </c>
      <c r="H11" s="123">
        <f>'Parameters | Agora'!$B$4*2.59532051350803E-06</f>
        <v>0.15428142324599836</v>
      </c>
      <c r="I11" s="123">
        <f>'Parameters | Agora'!$B$4*1.89807218399451E-07</f>
        <v>1.1283279904973765E-2</v>
      </c>
      <c r="J11" s="123">
        <f>'Parameters | Agora'!$B$4*4.88936917779182E-08</f>
        <v>2.9065344014301254E-3</v>
      </c>
      <c r="K11" s="123">
        <f>'Parameters | Agora'!$B$4*4.56904356756573E-08</f>
        <v>2.7161136391751239E-3</v>
      </c>
      <c r="L11" s="123">
        <f>'Parameters | Agora'!$B$4*7.28231373129231E-06</f>
        <v>0.43290442207040264</v>
      </c>
      <c r="M11" s="123">
        <f>'Parameters | Agora'!$B$4*0</f>
        <v>0</v>
      </c>
      <c r="N11" s="123">
        <f>'Parameters | Agora'!$B$4*0</f>
        <v>0</v>
      </c>
      <c r="O11" s="123">
        <f>'Parameters | Agora'!$B$4*1.09448363235298E-06</f>
        <v>6.5062674008855251E-2</v>
      </c>
      <c r="P11" s="123">
        <f>'Parameters | Agora'!$B$4*9.01476962250433E-07</f>
        <v>5.3589199497939236E-2</v>
      </c>
      <c r="Q11" s="123">
        <f>'Parameters | Agora'!$B$4*0.00000332</f>
        <v>0.19736071999999999</v>
      </c>
      <c r="R11" s="123">
        <f>'Parameters | Agora'!$B$4*0.000000228</f>
        <v>1.3553688E-2</v>
      </c>
      <c r="S11" s="123">
        <f>'Parameters | Agora'!$B$4*0.000000010795</f>
        <v>6.4171957000000001E-4</v>
      </c>
      <c r="T11" s="123">
        <f>'Parameters | Agora'!$B$4*7.27494551357395E-08</f>
        <v>4.3246641099991701E-3</v>
      </c>
      <c r="U11" s="123">
        <f>'Parameters | Agora'!$B$4*3.07727628209758E-08</f>
        <v>1.8293176586557276E-3</v>
      </c>
      <c r="V11" s="123">
        <f>'Parameters | Agora'!$B$4*3.07727628209758E-08</f>
        <v>1.8293176586557276E-3</v>
      </c>
      <c r="W11" s="123">
        <f>'Parameters | Agora'!$B$4*3.88785344054027E-06</f>
        <v>0.23111733562635689</v>
      </c>
      <c r="X11" s="123">
        <f>'Parameters | Agora'!$B$4*0.000531</f>
        <v>31.565826000000001</v>
      </c>
      <c r="Y11" s="123">
        <f>'Parameters | Agora'!$B$4*0.0016102373266805</f>
        <v>95.722168121848995</v>
      </c>
      <c r="Z11" s="123">
        <f>'Parameters | Agora'!$B$4*0.00134037042048031</f>
        <v>79.679660015872514</v>
      </c>
      <c r="AA11" s="123">
        <f>'Parameters | Agora'!$B$4*0.00170978613298861</f>
        <v>101.6399464616409</v>
      </c>
      <c r="AB11" s="123">
        <f>'Parameters | Agora'!$B$4*0.00000091</f>
        <v>5.4095859999999996E-2</v>
      </c>
      <c r="AC11" s="123">
        <f>'Parameters | Agora'!$B$4*0.0000297997638621891</f>
        <v>1.7714767625516932</v>
      </c>
      <c r="AD11" s="123">
        <f>'Parameters | Agora'!$B$4*3.74873437957826E-07</f>
        <v>2.2284726392840924E-2</v>
      </c>
      <c r="AE11" s="123">
        <f>'Parameters | Agora'!$B$4*3.74873437957826E-07</f>
        <v>2.2284726392840924E-2</v>
      </c>
      <c r="AF11" s="123">
        <f>'Parameters | Agora'!$B$4*0.000281365323992451</f>
        <v>16.726043050055242</v>
      </c>
      <c r="AG11" s="123">
        <f>'Parameters | Agora'!$B$4*3.27118290481119E-08</f>
        <v>1.9445873895940599E-3</v>
      </c>
      <c r="AH11" s="123">
        <f>'Parameters | Agora'!$B$4*1.20134862733477E-09</f>
        <v>7.1415370500542741E-5</v>
      </c>
      <c r="AI11" s="123">
        <f>-'Parameters | Agora'!$B$4*3.8338734370188E-09</f>
        <v>-2.2790844033701959E-4</v>
      </c>
      <c r="AJ11" s="123">
        <f>'Parameters | Agora'!$B$4*6.93458582547945E-10</f>
        <v>4.1223338898145137E-5</v>
      </c>
      <c r="AP11" s="155"/>
      <c r="AQ11" s="155"/>
      <c r="AR11" s="155"/>
      <c r="AS11" s="155"/>
    </row>
    <row r="12" spans="1:45">
      <c r="A12" s="120" t="s">
        <v>334</v>
      </c>
      <c r="B12" s="120" t="s">
        <v>335</v>
      </c>
      <c r="C12" s="120" t="s">
        <v>114</v>
      </c>
      <c r="D12" s="120" t="s">
        <v>121</v>
      </c>
      <c r="E12" s="120" t="s">
        <v>316</v>
      </c>
      <c r="F12" s="121">
        <v>2023</v>
      </c>
      <c r="G12" s="123">
        <f>'Parameters | Agora'!$B$4*8.26936930031766E-06</f>
        <v>0.49158092742668363</v>
      </c>
      <c r="H12" s="123">
        <f>'Parameters | Agora'!$B$4*2.59532051350803E-06</f>
        <v>0.15428142324599836</v>
      </c>
      <c r="I12" s="123">
        <f>'Parameters | Agora'!$B$4*1.32446352351966E-06</f>
        <v>7.8734058619149699E-2</v>
      </c>
      <c r="J12" s="123">
        <f>'Parameters | Agora'!$B$4*8.62473484142803E-08</f>
        <v>5.1270598738353068E-3</v>
      </c>
      <c r="K12" s="123">
        <f>'Parameters | Agora'!$B$4*3.18825152891574E-07</f>
        <v>1.8952880038792509E-2</v>
      </c>
      <c r="L12" s="123">
        <f>'Parameters | Agora'!$B$4*7.28231373129231E-06</f>
        <v>0.43290442207040264</v>
      </c>
      <c r="M12" s="123">
        <f>'Parameters | Agora'!$B$4*0.000124835601542144</f>
        <v>7.420977169274293</v>
      </c>
      <c r="N12" s="123">
        <f>'Parameters | Agora'!$B$4*0.0000961531628207114</f>
        <v>5.7159209170400098</v>
      </c>
      <c r="O12" s="123">
        <f>'Parameters | Agora'!$B$4*0.0000981014651672756</f>
        <v>5.8317396983338652</v>
      </c>
      <c r="P12" s="123">
        <f>'Parameters | Agora'!$B$4*0.000050851011218118</f>
        <v>3.0228892128722427</v>
      </c>
      <c r="Q12" s="123">
        <f>'Parameters | Agora'!$B$4*0.00000332</f>
        <v>0.19736071999999999</v>
      </c>
      <c r="R12" s="123">
        <f>'Parameters | Agora'!$B$4*0.000000228</f>
        <v>1.3553688E-2</v>
      </c>
      <c r="S12" s="123">
        <f>'Parameters | Agora'!$B$4*0.000000010795</f>
        <v>6.4171957000000001E-4</v>
      </c>
      <c r="T12" s="123">
        <f>'Parameters | Agora'!$B$4*6.99000555811259E-07</f>
        <v>4.1552787040756108E-2</v>
      </c>
      <c r="U12" s="123">
        <f>'Parameters | Agora'!$B$4*6.25390197399224E-07</f>
        <v>3.7176945674594272E-2</v>
      </c>
      <c r="V12" s="123">
        <f>'Parameters | Agora'!$B$4*6.25390197399224E-07</f>
        <v>3.7176945674594272E-2</v>
      </c>
      <c r="W12" s="123">
        <f>'Parameters | Agora'!$B$4*3.88785344054027E-06</f>
        <v>0.23111733562635689</v>
      </c>
      <c r="X12" s="123">
        <f>'Parameters | Agora'!$B$4*0.000531</f>
        <v>31.565826000000001</v>
      </c>
      <c r="Y12" s="123">
        <f>'Parameters | Agora'!$B$4*0.000273480891384356</f>
        <v>16.257345069234429</v>
      </c>
      <c r="Z12" s="123">
        <f>'Parameters | Agora'!$B$4*0.000243162181141298</f>
        <v>14.455019020125601</v>
      </c>
      <c r="AA12" s="123">
        <f>'Parameters | Agora'!$B$4*0.000279299633754236</f>
        <v>16.603246028154313</v>
      </c>
      <c r="AB12" s="123">
        <f>'Parameters | Agora'!$B$4*0.00000091</f>
        <v>5.4095859999999996E-2</v>
      </c>
      <c r="AC12" s="123">
        <f>'Parameters | Agora'!$B$4*7.30856745522359E-06</f>
        <v>0.43446510094322149</v>
      </c>
      <c r="AD12" s="123">
        <f>'Parameters | Agora'!$B$4*5.67679753786685E-06</f>
        <v>0.33746290643603277</v>
      </c>
      <c r="AE12" s="123">
        <f>'Parameters | Agora'!$B$4*5.67679753786685E-06</f>
        <v>0.33746290643603277</v>
      </c>
      <c r="AF12" s="123">
        <f>'Parameters | Agora'!$B$4*0.000281365323992451</f>
        <v>16.726043050055242</v>
      </c>
      <c r="AG12" s="123">
        <f>'Parameters | Agora'!$B$4*4.43413552095716E-07</f>
        <v>2.6359162017881934E-2</v>
      </c>
      <c r="AH12" s="123">
        <f>'Parameters | Agora'!$B$4*1.74464881638565E-07</f>
        <v>1.0371239353886135E-2</v>
      </c>
      <c r="AI12" s="123">
        <f>'Parameters | Agora'!$B$4*3.99187811130085E-09</f>
        <v>2.3730118620439032E-4</v>
      </c>
      <c r="AJ12" s="123">
        <f>'Parameters | Agora'!$B$4*3.51988555364206E-09</f>
        <v>2.092431166218059E-4</v>
      </c>
    </row>
    <row r="13" spans="1:45">
      <c r="A13" s="120" t="s">
        <v>336</v>
      </c>
      <c r="B13" s="120" t="s">
        <v>337</v>
      </c>
      <c r="C13" s="120" t="s">
        <v>115</v>
      </c>
      <c r="D13" s="120" t="s">
        <v>121</v>
      </c>
      <c r="E13" s="120" t="s">
        <v>316</v>
      </c>
      <c r="F13" s="121">
        <v>2023</v>
      </c>
      <c r="G13" s="123">
        <f>'Parameters | Agora'!$B$4*0.0000100845111736794</f>
        <v>0.59948385123054559</v>
      </c>
      <c r="H13" s="123">
        <f>'Parameters | Agora'!$B$4*2.59532051350803E-06</f>
        <v>0.15428142324599836</v>
      </c>
      <c r="I13" s="123">
        <f>'Parameters | Agora'!$B$4*1.79168509905826E-06</f>
        <v>0.10650851239861732</v>
      </c>
      <c r="J13" s="123">
        <f>'Parameters | Agora'!$B$4*4.88936917779182E-08</f>
        <v>2.9065344014301254E-3</v>
      </c>
      <c r="K13" s="123">
        <f>'Parameters | Agora'!$B$4*4.31294834094633E-07</f>
        <v>2.5638752707589554E-2</v>
      </c>
      <c r="L13" s="123">
        <f>'Parameters | Agora'!$B$4*7.28231373129231E-06</f>
        <v>0.43290442207040264</v>
      </c>
      <c r="M13" s="123">
        <f>'Parameters | Agora'!$B$4*0.0000326947010074337</f>
        <v>1.9435691960879036</v>
      </c>
      <c r="N13" s="123">
        <f>'Parameters | Agora'!$B$4*0</f>
        <v>0</v>
      </c>
      <c r="O13" s="123">
        <f>'Parameters | Agora'!$B$4*0</f>
        <v>0</v>
      </c>
      <c r="P13" s="123">
        <f>'Parameters | Agora'!$B$4*0</f>
        <v>0</v>
      </c>
      <c r="Q13" s="123">
        <f>'Parameters | Agora'!$B$4*0.00000332</f>
        <v>0.19736071999999999</v>
      </c>
      <c r="R13" s="123">
        <f>'Parameters | Agora'!$B$4*0.000000228</f>
        <v>1.3553688E-2</v>
      </c>
      <c r="S13" s="123">
        <f>'Parameters | Agora'!$B$4*0.000000010795</f>
        <v>6.4171957000000001E-4</v>
      </c>
      <c r="T13" s="123">
        <f>'Parameters | Agora'!$B$4*2.91850148248296E-06</f>
        <v>0.17349323912768205</v>
      </c>
      <c r="U13" s="123">
        <f>'Parameters | Agora'!$B$4*4.92696157980494E-06</f>
        <v>0.29288815807308444</v>
      </c>
      <c r="V13" s="123">
        <f>'Parameters | Agora'!$B$4*4.92696157980494E-06</f>
        <v>0.29288815807308444</v>
      </c>
      <c r="W13" s="123">
        <f>'Parameters | Agora'!$B$4*3.88785344054027E-06</f>
        <v>0.23111733562635689</v>
      </c>
      <c r="X13" s="123">
        <f>'Parameters | Agora'!$B$4*0.000531</f>
        <v>31.565826000000001</v>
      </c>
      <c r="Y13" s="123">
        <f>'Parameters | Agora'!$B$4*0.00057242072136779</f>
        <v>34.028122202429643</v>
      </c>
      <c r="Z13" s="123">
        <f>'Parameters | Agora'!$B$4*0.000514233732314765</f>
        <v>30.569138451183523</v>
      </c>
      <c r="AA13" s="123">
        <f>'Parameters | Agora'!$B$4*0.000617677268409031</f>
        <v>36.718442897843254</v>
      </c>
      <c r="AB13" s="123">
        <f>'Parameters | Agora'!$B$4*0.00000091</f>
        <v>5.4095859999999996E-2</v>
      </c>
      <c r="AC13" s="123">
        <f>'Parameters | Agora'!$B$4*8.91281154452258E-06</f>
        <v>0.52983099507568931</v>
      </c>
      <c r="AD13" s="123">
        <f>'Parameters | Agora'!$B$4*1.02273643374378E-07</f>
        <v>6.0797590040332743E-3</v>
      </c>
      <c r="AE13" s="123">
        <f>'Parameters | Agora'!$B$4*1.02273643374378E-07</f>
        <v>6.0797590040332743E-3</v>
      </c>
      <c r="AF13" s="123">
        <f>'Parameters | Agora'!$B$4*0.000281365323992451</f>
        <v>16.726043050055242</v>
      </c>
      <c r="AG13" s="123">
        <f>'Parameters | Agora'!$B$4*2.55766144790285E-06</f>
        <v>0.15204274243203281</v>
      </c>
      <c r="AH13" s="123">
        <f>'Parameters | Agora'!$B$4*2.34945953785061E-06</f>
        <v>0.13966597168706738</v>
      </c>
      <c r="AI13" s="123">
        <f>'Parameters | Agora'!$B$4*9.79691415088229E-09</f>
        <v>5.8238735861334862E-4</v>
      </c>
      <c r="AJ13" s="123">
        <f>'Parameters | Agora'!$B$4*1.0043679900592E-08</f>
        <v>5.9705659537059202E-4</v>
      </c>
    </row>
    <row r="14" spans="1:45">
      <c r="A14" s="120" t="s">
        <v>338</v>
      </c>
      <c r="B14" s="120" t="s">
        <v>339</v>
      </c>
      <c r="C14" s="120" t="s">
        <v>115</v>
      </c>
      <c r="D14" s="120" t="s">
        <v>322</v>
      </c>
      <c r="E14" s="120" t="s">
        <v>316</v>
      </c>
      <c r="F14" s="121">
        <v>2023</v>
      </c>
      <c r="G14" s="123">
        <f>'Parameters | Agora'!$B$4*0.0000907854271750969</f>
        <v>5.3968305038508104</v>
      </c>
      <c r="H14" s="123">
        <f>'Parameters | Agora'!$B$4*2.59532051350803E-06</f>
        <v>0.15428142324599836</v>
      </c>
      <c r="I14" s="123">
        <f>'Parameters | Agora'!$B$4*8.7447619385032E-08</f>
        <v>5.1984111819626125E-3</v>
      </c>
      <c r="J14" s="123">
        <f>'Parameters | Agora'!$B$4*4.88936917779182E-08</f>
        <v>2.9065344014301254E-3</v>
      </c>
      <c r="K14" s="123">
        <f>'Parameters | Agora'!$B$4*2.10504103173387E-08</f>
        <v>1.2513626917245164E-3</v>
      </c>
      <c r="L14" s="123">
        <f>'Parameters | Agora'!$B$4*7.28231373129231E-06</f>
        <v>0.43290442207040264</v>
      </c>
      <c r="M14" s="123">
        <f>'Parameters | Agora'!$B$4*3.91902821238785E-07</f>
        <v>2.3297055111360813E-2</v>
      </c>
      <c r="N14" s="123">
        <f>'Parameters | Agora'!$B$4*1.80074995683907E-07</f>
        <v>1.0704738193425536E-2</v>
      </c>
      <c r="O14" s="123">
        <f>'Parameters | Agora'!$B$4*4.6362954174724E-07</f>
        <v>2.7560921738706428E-2</v>
      </c>
      <c r="P14" s="123">
        <f>'Parameters | Agora'!$B$4*6.47216149513444E-07</f>
        <v>3.8474411223976192E-2</v>
      </c>
      <c r="Q14" s="123">
        <f>'Parameters | Agora'!$B$4*0.00000332</f>
        <v>0.19736071999999999</v>
      </c>
      <c r="R14" s="123">
        <f>'Parameters | Agora'!$B$4*0.000000228</f>
        <v>1.3553688E-2</v>
      </c>
      <c r="S14" s="123">
        <f>'Parameters | Agora'!$B$4*0.000000010795</f>
        <v>6.4171957000000001E-4</v>
      </c>
      <c r="T14" s="123">
        <f>'Parameters | Agora'!$B$4*1.11257675142904E-07</f>
        <v>6.613823756545071E-3</v>
      </c>
      <c r="U14" s="123">
        <f>'Parameters | Agora'!$B$4*9.94825499386103E-08</f>
        <v>5.9138396636506272E-3</v>
      </c>
      <c r="V14" s="123">
        <f>'Parameters | Agora'!$B$4*9.94825499386103E-08</f>
        <v>5.9138396636506272E-3</v>
      </c>
      <c r="W14" s="123">
        <f>'Parameters | Agora'!$B$4*3.88785344054027E-06</f>
        <v>0.23111733562635689</v>
      </c>
      <c r="X14" s="123">
        <f>'Parameters | Agora'!$B$4*0.000531</f>
        <v>31.565826000000001</v>
      </c>
      <c r="Y14" s="123">
        <f>'Parameters | Agora'!$B$4*0.00169618151430796</f>
        <v>100.831206299551</v>
      </c>
      <c r="Z14" s="123">
        <f>'Parameters | Agora'!$B$4*0.00161288688637319</f>
        <v>95.879673847340641</v>
      </c>
      <c r="AA14" s="123">
        <f>'Parameters | Agora'!$B$4*0.0018021928589522</f>
        <v>107.13315669327248</v>
      </c>
      <c r="AB14" s="123">
        <f>'Parameters | Agora'!$B$4*0.00000091</f>
        <v>5.4095859999999996E-2</v>
      </c>
      <c r="AC14" s="123">
        <f>'Parameters | Agora'!$B$4*0.0000802372459571972</f>
        <v>4.769783323171545</v>
      </c>
      <c r="AD14" s="123">
        <f>'Parameters | Agora'!$B$4*2.20342988286423E-07</f>
        <v>1.3098509281674702E-2</v>
      </c>
      <c r="AE14" s="123">
        <f>'Parameters | Agora'!$B$4*2.20342988286423E-07</f>
        <v>1.3098509281674702E-2</v>
      </c>
      <c r="AF14" s="123">
        <f>'Parameters | Agora'!$B$4*0.000281365323992451</f>
        <v>16.726043050055242</v>
      </c>
      <c r="AG14" s="123">
        <f>'Parameters | Agora'!$B$4*9.28746779269551E-08</f>
        <v>5.5210281040457727E-3</v>
      </c>
      <c r="AH14" s="123">
        <f>'Parameters | Agora'!$B$4*5.44891508059427E-09</f>
        <v>3.2391620588100695E-4</v>
      </c>
      <c r="AI14" s="123">
        <f>'Parameters | Agora'!$B$4*8.68989556741758E-10</f>
        <v>5.1657953190070545E-5</v>
      </c>
      <c r="AJ14" s="123">
        <f>'Parameters | Agora'!$B$4*2.89967374319188E-10</f>
        <v>1.7237400533778447E-5</v>
      </c>
    </row>
    <row r="15" spans="1:45">
      <c r="A15" s="120" t="s">
        <v>340</v>
      </c>
      <c r="B15" s="120" t="s">
        <v>341</v>
      </c>
      <c r="C15" s="120" t="s">
        <v>116</v>
      </c>
      <c r="D15" s="120" t="s">
        <v>121</v>
      </c>
      <c r="E15" s="120" t="s">
        <v>316</v>
      </c>
      <c r="F15" s="121">
        <v>2023</v>
      </c>
      <c r="G15" s="123">
        <f>'Parameters | Agora'!$B$4*0.0000266142716386821</f>
        <v>1.5821119918330961</v>
      </c>
      <c r="H15" s="123">
        <f>'Parameters | Agora'!$B$4*2.59532051350803E-06</f>
        <v>0.15428142324599836</v>
      </c>
      <c r="I15" s="123">
        <f>'Parameters | Agora'!$B$4*1.07786782161148E-06</f>
        <v>6.4074930523516038E-2</v>
      </c>
      <c r="J15" s="123">
        <f>'Parameters | Agora'!$B$4*8.63343994036925E-08</f>
        <v>5.1322347069519044E-3</v>
      </c>
      <c r="K15" s="123">
        <f>'Parameters | Agora'!$B$4*2.59464580880989E-07</f>
        <v>1.542413147505127E-2</v>
      </c>
      <c r="L15" s="123">
        <f>'Parameters | Agora'!$B$4*7.28231373129231E-06</f>
        <v>0.43290442207040264</v>
      </c>
      <c r="M15" s="123">
        <f>'Parameters | Agora'!$B$4*0.0000600190337539823</f>
        <v>3.5678914805392319</v>
      </c>
      <c r="N15" s="123">
        <f>'Parameters | Agora'!$B$4*0.000679261983649258</f>
        <v>40.379407880013787</v>
      </c>
      <c r="O15" s="123">
        <f>'Parameters | Agora'!$B$4*0.000158887062755249</f>
        <v>9.4452003325485325</v>
      </c>
      <c r="P15" s="123">
        <f>'Parameters | Agora'!$B$4*0.000110409065948861</f>
        <v>6.5633773343959909</v>
      </c>
      <c r="Q15" s="123">
        <f>'Parameters | Agora'!$B$4*0.00000332</f>
        <v>0.19736071999999999</v>
      </c>
      <c r="R15" s="123">
        <f>'Parameters | Agora'!$B$4*0.000000228</f>
        <v>1.3553688E-2</v>
      </c>
      <c r="S15" s="123">
        <f>'Parameters | Agora'!$B$4*0.000000010795</f>
        <v>6.4171957000000001E-4</v>
      </c>
      <c r="T15" s="123">
        <f>'Parameters | Agora'!$B$4*0.0000016937475083646</f>
        <v>0.10068651438224201</v>
      </c>
      <c r="U15" s="123">
        <f>'Parameters | Agora'!$B$4*1.80573684975934E-06</f>
        <v>0.10734383277079372</v>
      </c>
      <c r="V15" s="123">
        <f>'Parameters | Agora'!$B$4*1.80573684975934E-06</f>
        <v>0.10734383277079372</v>
      </c>
      <c r="W15" s="123">
        <f>'Parameters | Agora'!$B$4*3.88785344054027E-06</f>
        <v>0.23111733562635689</v>
      </c>
      <c r="X15" s="123">
        <f>'Parameters | Agora'!$B$4*0.000531</f>
        <v>31.565826000000001</v>
      </c>
      <c r="Y15" s="123">
        <f>'Parameters | Agora'!$B$4*0.000202374238035978</f>
        <v>12.03033895428675</v>
      </c>
      <c r="Z15" s="123">
        <f>'Parameters | Agora'!$B$4*0.000202374238035978</f>
        <v>12.03033895428675</v>
      </c>
      <c r="AA15" s="123">
        <f>'Parameters | Agora'!$B$4*0.000202374238035978</f>
        <v>12.03033895428675</v>
      </c>
      <c r="AB15" s="123">
        <f>'Parameters | Agora'!$B$4*0.00000091</f>
        <v>5.4095859999999996E-2</v>
      </c>
      <c r="AC15" s="123">
        <f>'Parameters | Agora'!$B$4*0.0000235220114713561</f>
        <v>1.3982894939262347</v>
      </c>
      <c r="AD15" s="123">
        <f>'Parameters | Agora'!$B$4*2.03480819597193E-06</f>
        <v>0.12096120801774735</v>
      </c>
      <c r="AE15" s="123">
        <f>'Parameters | Agora'!$B$4*2.03480819597193E-06</f>
        <v>0.12096120801774735</v>
      </c>
      <c r="AF15" s="123">
        <f>'Parameters | Agora'!$B$4*0.000281365323992451</f>
        <v>16.726043050055242</v>
      </c>
      <c r="AG15" s="123">
        <f>'Parameters | Agora'!$B$4*1.57191328848131E-06</f>
        <v>9.3443957347059958E-2</v>
      </c>
      <c r="AH15" s="123">
        <f>'Parameters | Agora'!$B$4*2.53120633071962E-07</f>
        <v>1.5047009153595853E-2</v>
      </c>
      <c r="AI15" s="123">
        <f>-'Parameters | Agora'!$B$4*2.6142200079688E-08</f>
        <v>-1.5540492259371328E-3</v>
      </c>
      <c r="AJ15" s="123">
        <f>'Parameters | Agora'!$B$4*6.8451282857634E-09</f>
        <v>4.0691549607549106E-4</v>
      </c>
    </row>
    <row r="16" spans="1:45">
      <c r="A16" s="120" t="s">
        <v>342</v>
      </c>
      <c r="B16" s="120" t="s">
        <v>343</v>
      </c>
      <c r="C16" s="120" t="s">
        <v>118</v>
      </c>
      <c r="D16" s="120" t="s">
        <v>325</v>
      </c>
      <c r="E16" s="120" t="s">
        <v>316</v>
      </c>
      <c r="F16" s="121">
        <v>2023</v>
      </c>
      <c r="G16" s="123">
        <f>'Parameters | Agora'!$B$4*0.00020827295265543</f>
        <v>12.380993943554692</v>
      </c>
      <c r="H16" s="123">
        <f>'Parameters | Agora'!$B$4*2.59532051350803E-06</f>
        <v>0.15428142324599836</v>
      </c>
      <c r="I16" s="123">
        <f>'Parameters | Agora'!$B$4*1.51280756355352E-06</f>
        <v>8.9930358423002552E-2</v>
      </c>
      <c r="J16" s="123">
        <f>'Parameters | Agora'!$B$4*2.87307050554589E-07</f>
        <v>1.7079254927268098E-2</v>
      </c>
      <c r="K16" s="123">
        <f>'Parameters | Agora'!$B$4*3.64163371946818E-07</f>
        <v>2.1648055808750542E-2</v>
      </c>
      <c r="L16" s="123">
        <f>'Parameters | Agora'!$B$4*7.28231373129231E-06</f>
        <v>0.43290442207040264</v>
      </c>
      <c r="M16" s="123">
        <f>'Parameters | Agora'!$B$4*0.0000259549250817704</f>
        <v>1.5429164764109231</v>
      </c>
      <c r="N16" s="123">
        <f>'Parameters | Agora'!$B$4*0.0000020060419338258</f>
        <v>0.1192511687982085</v>
      </c>
      <c r="O16" s="123">
        <f>'Parameters | Agora'!$B$4*2.35721741528405E-06</f>
        <v>0.14012714646897564</v>
      </c>
      <c r="P16" s="123">
        <f>'Parameters | Agora'!$B$4*2.65870471693172E-07</f>
        <v>1.5804936060272303E-2</v>
      </c>
      <c r="Q16" s="123">
        <f>'Parameters | Agora'!$B$4*0.00000332</f>
        <v>0.19736071999999999</v>
      </c>
      <c r="R16" s="123">
        <f>'Parameters | Agora'!$B$4*0.000000228</f>
        <v>1.3553688E-2</v>
      </c>
      <c r="S16" s="123">
        <f>'Parameters | Agora'!$B$4*0.000000010795</f>
        <v>6.4171957000000001E-4</v>
      </c>
      <c r="T16" s="123">
        <f>'Parameters | Agora'!$B$4*3.22481152282167E-06</f>
        <v>0.191702145785657</v>
      </c>
      <c r="U16" s="123">
        <f>'Parameters | Agora'!$B$4*4.41137758499437E-06</f>
        <v>0.26223875191757529</v>
      </c>
      <c r="V16" s="123">
        <f>'Parameters | Agora'!$B$4*4.41137758499437E-06</f>
        <v>0.26223875191757529</v>
      </c>
      <c r="W16" s="123">
        <f>'Parameters | Agora'!$B$4*3.88785344054027E-06</f>
        <v>0.23111733562635689</v>
      </c>
      <c r="X16" s="123">
        <f>'Parameters | Agora'!$B$4*0.000531</f>
        <v>31.565826000000001</v>
      </c>
      <c r="Y16" s="123">
        <f>'Parameters | Agora'!$B$4*0.000947818446570746</f>
        <v>56.344015374844567</v>
      </c>
      <c r="Z16" s="123">
        <f>'Parameters | Agora'!$B$4*0.000782738521434158</f>
        <v>46.530674145174956</v>
      </c>
      <c r="AA16" s="123">
        <f>'Parameters | Agora'!$B$4*0.00096554238360164</f>
        <v>57.397632535583092</v>
      </c>
      <c r="AB16" s="123">
        <f>'Parameters | Agora'!$B$4*0.00000091</f>
        <v>5.4095859999999996E-2</v>
      </c>
      <c r="AC16" s="123">
        <f>'Parameters | Agora'!$B$4*0.000184074125643696</f>
        <v>10.942470473015153</v>
      </c>
      <c r="AD16" s="123">
        <f>'Parameters | Agora'!$B$4*2.04124571424777E-06</f>
        <v>0.12134389272917293</v>
      </c>
      <c r="AE16" s="123">
        <f>'Parameters | Agora'!$B$4*2.04124571424777E-06</f>
        <v>0.12134389272917293</v>
      </c>
      <c r="AF16" s="123">
        <f>'Parameters | Agora'!$B$4*0.000281365323992451</f>
        <v>16.726043050055242</v>
      </c>
      <c r="AG16" s="123">
        <f>'Parameters | Agora'!$B$4*2.45549784620345E-06</f>
        <v>0.1459695249654103</v>
      </c>
      <c r="AH16" s="123">
        <f>'Parameters | Agora'!$B$4*1.72055575399862E-06</f>
        <v>0.10228015735220197</v>
      </c>
      <c r="AI16" s="123">
        <f>'Parameters | Agora'!$B$4*2.06949260574305E-07</f>
        <v>1.2302305744100133E-2</v>
      </c>
      <c r="AJ16" s="123">
        <f>'Parameters | Agora'!$B$4*2.83747242179907E-08</f>
        <v>1.6867638558626752E-3</v>
      </c>
    </row>
    <row r="17" spans="1:36">
      <c r="A17" s="120" t="s">
        <v>344</v>
      </c>
      <c r="B17" s="120" t="s">
        <v>345</v>
      </c>
      <c r="C17" s="120" t="s">
        <v>116</v>
      </c>
      <c r="D17" s="120" t="s">
        <v>121</v>
      </c>
      <c r="E17" s="120" t="s">
        <v>316</v>
      </c>
      <c r="F17" s="121">
        <v>2023</v>
      </c>
      <c r="G17" s="123">
        <f>'Parameters | Agora'!$B$4*0.0000188230370162557</f>
        <v>1.1189542584683365</v>
      </c>
      <c r="H17" s="123">
        <f>'Parameters | Agora'!$B$4*2.59532051350803E-06</f>
        <v>0.15428142324599836</v>
      </c>
      <c r="I17" s="123">
        <f>'Parameters | Agora'!$B$4*1.68756686938967E-06</f>
        <v>0.10031910011773833</v>
      </c>
      <c r="J17" s="123">
        <f>'Parameters | Agora'!$B$4*8.63343994036925E-08</f>
        <v>5.1322347069519044E-3</v>
      </c>
      <c r="K17" s="123">
        <f>'Parameters | Agora'!$B$4*4.06231470775519E-07</f>
        <v>2.4148836011721502E-2</v>
      </c>
      <c r="L17" s="123">
        <f>'Parameters | Agora'!$B$4*7.28231373129231E-06</f>
        <v>0.43290442207040264</v>
      </c>
      <c r="M17" s="123">
        <f>'Parameters | Agora'!$B$4*0.0000939689736210626</f>
        <v>5.5860796058776874</v>
      </c>
      <c r="N17" s="123">
        <f>'Parameters | Agora'!$B$4*0.00106348848741825</f>
        <v>63.220136623065294</v>
      </c>
      <c r="O17" s="123">
        <f>'Parameters | Agora'!$B$4*0.000158887062755249</f>
        <v>9.4452003325485325</v>
      </c>
      <c r="P17" s="123">
        <f>'Parameters | Agora'!$B$4*0.000110409065948861</f>
        <v>6.5633773343959909</v>
      </c>
      <c r="Q17" s="123">
        <f>'Parameters | Agora'!$B$4*0.00000332</f>
        <v>0.19736071999999999</v>
      </c>
      <c r="R17" s="123">
        <f>'Parameters | Agora'!$B$4*0.000000228</f>
        <v>1.3553688E-2</v>
      </c>
      <c r="S17" s="123">
        <f>'Parameters | Agora'!$B$4*0.000000010795</f>
        <v>6.4171957000000001E-4</v>
      </c>
      <c r="T17" s="123">
        <f>'Parameters | Agora'!$B$4*2.93991558236443E-06</f>
        <v>0.17476622170923589</v>
      </c>
      <c r="U17" s="123">
        <f>'Parameters | Agora'!$B$4*3.86964238361695E-06</f>
        <v>0.23003476113649324</v>
      </c>
      <c r="V17" s="123">
        <f>'Parameters | Agora'!$B$4*3.86964238361695E-06</f>
        <v>0.23003476113649324</v>
      </c>
      <c r="W17" s="123">
        <f>'Parameters | Agora'!$B$4*3.88785344054027E-06</f>
        <v>0.23111733562635689</v>
      </c>
      <c r="X17" s="123">
        <f>'Parameters | Agora'!$B$4*0.000531</f>
        <v>31.565826000000001</v>
      </c>
      <c r="Y17" s="123">
        <f>'Parameters | Agora'!$B$4*0.000526691927196199</f>
        <v>31.309728304105246</v>
      </c>
      <c r="Z17" s="123">
        <f>'Parameters | Agora'!$B$4*0.000494412544528403</f>
        <v>29.390848122035447</v>
      </c>
      <c r="AA17" s="123">
        <f>'Parameters | Agora'!$B$4*0.000528843886040719</f>
        <v>31.437653649576578</v>
      </c>
      <c r="AB17" s="123">
        <f>'Parameters | Agora'!$B$4*0.00000091</f>
        <v>5.4095859999999996E-2</v>
      </c>
      <c r="AC17" s="123">
        <f>'Parameters | Agora'!$B$4*0.0000166360251609746</f>
        <v>0.98894515171929609</v>
      </c>
      <c r="AD17" s="123">
        <f>'Parameters | Agora'!$B$4*3.18580333157265E-06</f>
        <v>0.18938326484866777</v>
      </c>
      <c r="AE17" s="123">
        <f>'Parameters | Agora'!$B$4*3.18580333157265E-06</f>
        <v>0.18938326484866777</v>
      </c>
      <c r="AF17" s="123">
        <f>'Parameters | Agora'!$B$4*0.000281365323992451</f>
        <v>16.726043050055242</v>
      </c>
      <c r="AG17" s="123">
        <f>'Parameters | Agora'!$B$4*2.37961631537384E-06</f>
        <v>0.1414586714837133</v>
      </c>
      <c r="AH17" s="123">
        <f>'Parameters | Agora'!$B$4*1.39594632213795E-06</f>
        <v>8.2983425065812577E-2</v>
      </c>
      <c r="AI17" s="123">
        <f>'Parameters | Agora'!$B$4*6.98821769150748E-08</f>
        <v>4.1542158888935371E-3</v>
      </c>
      <c r="AJ17" s="123">
        <f>'Parameters | Agora'!$B$4*2.4197569190084E-08</f>
        <v>1.4384486980737335E-3</v>
      </c>
    </row>
    <row r="18" spans="1:36">
      <c r="A18" s="120" t="s">
        <v>346</v>
      </c>
      <c r="B18" s="120" t="s">
        <v>347</v>
      </c>
      <c r="C18" s="120" t="s">
        <v>115</v>
      </c>
      <c r="D18" s="120" t="s">
        <v>322</v>
      </c>
      <c r="E18" s="120" t="s">
        <v>316</v>
      </c>
      <c r="F18" s="121">
        <v>2023</v>
      </c>
      <c r="G18" s="123">
        <f>'Parameters | Agora'!$B$4*0.0000605708138220339</f>
        <v>3.6006925984646272</v>
      </c>
      <c r="H18" s="123">
        <f>'Parameters | Agora'!$B$4*2.59532051350803E-06</f>
        <v>0.15428142324599836</v>
      </c>
      <c r="I18" s="123">
        <f>'Parameters | Agora'!$B$4*3.35235059860713E-07</f>
        <v>1.9928383368479945E-2</v>
      </c>
      <c r="J18" s="123">
        <f>'Parameters | Agora'!$B$4*4.88936917779182E-08</f>
        <v>2.9065344014301254E-3</v>
      </c>
      <c r="K18" s="123">
        <f>'Parameters | Agora'!$B$4*8.06978578999888E-08</f>
        <v>4.797164860722734E-3</v>
      </c>
      <c r="L18" s="123">
        <f>'Parameters | Agora'!$B$4*7.28231373129231E-06</f>
        <v>0.43290442207040264</v>
      </c>
      <c r="M18" s="123">
        <f>'Parameters | Agora'!$B$4*6.24735562893426E-06</f>
        <v>0.37138030271762601</v>
      </c>
      <c r="N18" s="123">
        <f>'Parameters | Agora'!$B$4*5.19699811158204E-07</f>
        <v>3.0894074974110595E-2</v>
      </c>
      <c r="O18" s="123">
        <f>'Parameters | Agora'!$B$4*6.46385584853347E-06</f>
        <v>0.38425037477192064</v>
      </c>
      <c r="P18" s="123">
        <f>'Parameters | Agora'!$B$4*4.44863876312512E-07</f>
        <v>2.644537799127359E-2</v>
      </c>
      <c r="Q18" s="123">
        <f>'Parameters | Agora'!$B$4*0.00000332</f>
        <v>0.19736071999999999</v>
      </c>
      <c r="R18" s="123">
        <f>'Parameters | Agora'!$B$4*0.000000228</f>
        <v>1.3553688E-2</v>
      </c>
      <c r="S18" s="123">
        <f>'Parameters | Agora'!$B$4*0.000000010795</f>
        <v>6.4171957000000001E-4</v>
      </c>
      <c r="T18" s="123">
        <f>'Parameters | Agora'!$B$4*5.50554376623326E-07</f>
        <v>3.2728255472750239E-2</v>
      </c>
      <c r="U18" s="123">
        <f>'Parameters | Agora'!$B$4*4.92544079866885E-07</f>
        <v>2.9279775371766847E-2</v>
      </c>
      <c r="V18" s="123">
        <f>'Parameters | Agora'!$B$4*4.92544079866885E-07</f>
        <v>2.9279775371766847E-2</v>
      </c>
      <c r="W18" s="123">
        <f>'Parameters | Agora'!$B$4*3.88785344054027E-06</f>
        <v>0.23111733562635689</v>
      </c>
      <c r="X18" s="123">
        <f>'Parameters | Agora'!$B$4*0.000531</f>
        <v>31.565826000000001</v>
      </c>
      <c r="Y18" s="123">
        <f>'Parameters | Agora'!$B$4*0.0019094203949308</f>
        <v>113.50740479705634</v>
      </c>
      <c r="Z18" s="123">
        <f>'Parameters | Agora'!$B$4*0.00165409092351564</f>
        <v>98.32908903931073</v>
      </c>
      <c r="AA18" s="123">
        <f>'Parameters | Agora'!$B$4*0.00212034474088246</f>
        <v>126.04601346649872</v>
      </c>
      <c r="AB18" s="123">
        <f>'Parameters | Agora'!$B$4*0.00000091</f>
        <v>5.4095859999999996E-2</v>
      </c>
      <c r="AC18" s="123">
        <f>'Parameters | Agora'!$B$4*0.0000535332094334109</f>
        <v>3.1823351679785441</v>
      </c>
      <c r="AD18" s="123">
        <f>'Parameters | Agora'!$B$4*4.3275192087606E-11</f>
        <v>2.5725370688398265E-6</v>
      </c>
      <c r="AE18" s="123">
        <f>'Parameters | Agora'!$B$4*4.3275192087606E-11</f>
        <v>2.5725370688398265E-6</v>
      </c>
      <c r="AF18" s="123">
        <f>'Parameters | Agora'!$B$4*0.000281365323992451</f>
        <v>16.726043050055242</v>
      </c>
      <c r="AG18" s="123">
        <f>'Parameters | Agora'!$B$4*4.91068336639664E-07</f>
        <v>2.9192048339881465E-2</v>
      </c>
      <c r="AH18" s="123">
        <f>'Parameters | Agora'!$B$4*1.239945772508E-10</f>
        <v>7.3709816392510566E-6</v>
      </c>
      <c r="AI18" s="123">
        <f>'Parameters | Agora'!$B$4*5.62640261535293E-13</f>
        <v>3.3446712987227027E-8</v>
      </c>
      <c r="AJ18" s="123">
        <f>'Parameters | Agora'!$B$4*1.35118600970877E-09</f>
        <v>8.0322603533147539E-5</v>
      </c>
    </row>
    <row r="19" spans="1:36">
      <c r="A19" s="120" t="s">
        <v>348</v>
      </c>
      <c r="B19" s="120" t="s">
        <v>349</v>
      </c>
      <c r="C19" s="120" t="s">
        <v>115</v>
      </c>
      <c r="D19" s="120" t="s">
        <v>121</v>
      </c>
      <c r="E19" s="120" t="s">
        <v>316</v>
      </c>
      <c r="F19" s="121">
        <v>2023</v>
      </c>
      <c r="G19" s="123">
        <f>'Parameters | Agora'!$B$4*0.0000166569158575843</f>
        <v>0.99018702006995618</v>
      </c>
      <c r="H19" s="123">
        <f>'Parameters | Agora'!$B$4*2.59532051350803E-06</f>
        <v>0.15428142324599836</v>
      </c>
      <c r="I19" s="123">
        <f>'Parameters | Agora'!$B$4*1.51639232778713E-06</f>
        <v>9.0143458317633721E-2</v>
      </c>
      <c r="J19" s="123">
        <f>'Parameters | Agora'!$B$4*4.88936917779182E-08</f>
        <v>2.9065344014301254E-3</v>
      </c>
      <c r="K19" s="123">
        <f>'Parameters | Agora'!$B$4*3.65026297187539E-07</f>
        <v>2.1699353262610445E-2</v>
      </c>
      <c r="L19" s="123">
        <f>'Parameters | Agora'!$B$4*7.28231373129231E-06</f>
        <v>0.43290442207040264</v>
      </c>
      <c r="M19" s="123">
        <f>'Parameters | Agora'!$B$4*0.0000215207446943589</f>
        <v>1.2793221891008593</v>
      </c>
      <c r="N19" s="123">
        <f>'Parameters | Agora'!$B$4*0</f>
        <v>0</v>
      </c>
      <c r="O19" s="123">
        <f>'Parameters | Agora'!$B$4*6.30736094721039E-07</f>
        <v>3.7494737886786887E-2</v>
      </c>
      <c r="P19" s="123">
        <f>'Parameters | Agora'!$B$4*2.99932138489113E-07</f>
        <v>1.7829765904623814E-2</v>
      </c>
      <c r="Q19" s="123">
        <f>'Parameters | Agora'!$B$4*0.00000332</f>
        <v>0.19736071999999999</v>
      </c>
      <c r="R19" s="123">
        <f>'Parameters | Agora'!$B$4*0.000000228</f>
        <v>1.3553688E-2</v>
      </c>
      <c r="S19" s="123">
        <f>'Parameters | Agora'!$B$4*0.000000010795</f>
        <v>6.4171957000000001E-4</v>
      </c>
      <c r="T19" s="123">
        <f>'Parameters | Agora'!$B$4*4.65708036874447E-06</f>
        <v>0.27684479960038377</v>
      </c>
      <c r="U19" s="123">
        <f>'Parameters | Agora'!$B$4*0.0000032156748249219</f>
        <v>0.19115900564230728</v>
      </c>
      <c r="V19" s="123">
        <f>'Parameters | Agora'!$B$4*0.0000032156748249219</f>
        <v>0.19115900564230728</v>
      </c>
      <c r="W19" s="123">
        <f>'Parameters | Agora'!$B$4*3.88785344054027E-06</f>
        <v>0.23111733562635689</v>
      </c>
      <c r="X19" s="123">
        <f>'Parameters | Agora'!$B$4*0.000531</f>
        <v>31.565826000000001</v>
      </c>
      <c r="Y19" s="123">
        <f>'Parameters | Agora'!$B$4*0.000515665125764751</f>
        <v>30.654229066211389</v>
      </c>
      <c r="Z19" s="123">
        <f>'Parameters | Agora'!$B$4*0.000453840266103791</f>
        <v>26.978988458805961</v>
      </c>
      <c r="AA19" s="123">
        <f>'Parameters | Agora'!$B$4*0.000529861945390602</f>
        <v>31.498173205689728</v>
      </c>
      <c r="AB19" s="123">
        <f>'Parameters | Agora'!$B$4*0.00000091</f>
        <v>5.4095859999999996E-2</v>
      </c>
      <c r="AC19" s="123">
        <f>'Parameters | Agora'!$B$4*0.000014721581383052</f>
        <v>0.8751391268969092</v>
      </c>
      <c r="AD19" s="123">
        <f>'Parameters | Agora'!$B$4*0.0000183693035252002</f>
        <v>1.0919816173590511</v>
      </c>
      <c r="AE19" s="123">
        <f>'Parameters | Agora'!$B$4*0.0000183693035252002</f>
        <v>1.0919816173590511</v>
      </c>
      <c r="AF19" s="123">
        <f>'Parameters | Agora'!$B$4*0.000281365323992451</f>
        <v>16.726043050055242</v>
      </c>
      <c r="AG19" s="123">
        <f>'Parameters | Agora'!$B$4*2.21836823613846E-06</f>
        <v>0.13187311816548689</v>
      </c>
      <c r="AH19" s="123">
        <f>'Parameters | Agora'!$B$4*2.40426522583173E-07</f>
        <v>1.4292395061479302E-2</v>
      </c>
      <c r="AI19" s="123">
        <f>'Parameters | Agora'!$B$4*7.50210391975898E-07</f>
        <v>4.4597006961399233E-2</v>
      </c>
      <c r="AJ19" s="123">
        <f>'Parameters | Agora'!$B$4*6.66967422437224E-09</f>
        <v>3.9648545394203215E-4</v>
      </c>
    </row>
    <row r="20" spans="1:36">
      <c r="A20" s="120" t="s">
        <v>350</v>
      </c>
      <c r="B20" s="120" t="s">
        <v>351</v>
      </c>
      <c r="C20" s="120" t="s">
        <v>116</v>
      </c>
      <c r="D20" s="120" t="s">
        <v>322</v>
      </c>
      <c r="E20" s="120" t="s">
        <v>316</v>
      </c>
      <c r="F20" s="121">
        <v>2023</v>
      </c>
      <c r="G20" s="123">
        <f>'Parameters | Agora'!$B$4*0.0000533048753774596</f>
        <v>3.1687616216884638</v>
      </c>
      <c r="H20" s="123">
        <f>'Parameters | Agora'!$B$4*2.59532051350803E-06</f>
        <v>0.15428142324599836</v>
      </c>
      <c r="I20" s="123">
        <f>'Parameters | Agora'!$B$4*8.64190200614865E-07</f>
        <v>5.1372650665751265E-2</v>
      </c>
      <c r="J20" s="123">
        <f>'Parameters | Agora'!$B$4*8.63343994036925E-08</f>
        <v>5.1322347069519044E-3</v>
      </c>
      <c r="K20" s="123">
        <f>'Parameters | Agora'!$B$4*2.08028056602304E-07</f>
        <v>1.2366435852780563E-2</v>
      </c>
      <c r="L20" s="123">
        <f>'Parameters | Agora'!$B$4*7.28231373129231E-06</f>
        <v>0.43290442207040264</v>
      </c>
      <c r="M20" s="123">
        <f>'Parameters | Agora'!$B$4*0.0000537972404536002</f>
        <v>3.1980307560047176</v>
      </c>
      <c r="N20" s="123">
        <f>'Parameters | Agora'!$B$4*0.0000516369261175497</f>
        <v>3.0696087099838594</v>
      </c>
      <c r="O20" s="123">
        <f>'Parameters | Agora'!$B$4*0.0000652492576307402</f>
        <v>3.878807369116982</v>
      </c>
      <c r="P20" s="123">
        <f>'Parameters | Agora'!$B$4*0.0000397845211483296</f>
        <v>2.3650306441836015</v>
      </c>
      <c r="Q20" s="123">
        <f>'Parameters | Agora'!$B$4*0.00000332</f>
        <v>0.19736071999999999</v>
      </c>
      <c r="R20" s="123">
        <f>'Parameters | Agora'!$B$4*0.000000228</f>
        <v>1.3553688E-2</v>
      </c>
      <c r="S20" s="123">
        <f>'Parameters | Agora'!$B$4*0.000000010795</f>
        <v>6.4171957000000001E-4</v>
      </c>
      <c r="T20" s="123">
        <f>'Parameters | Agora'!$B$4*1.76446760027398E-06</f>
        <v>0.10489054096588701</v>
      </c>
      <c r="U20" s="123">
        <f>'Parameters | Agora'!$B$4*3.49184797501068E-06</f>
        <v>0.20757639472248487</v>
      </c>
      <c r="V20" s="123">
        <f>'Parameters | Agora'!$B$4*3.49184797501068E-06</f>
        <v>0.20757639472248487</v>
      </c>
      <c r="W20" s="123">
        <f>'Parameters | Agora'!$B$4*3.88785344054027E-06</f>
        <v>0.23111733562635689</v>
      </c>
      <c r="X20" s="123">
        <f>'Parameters | Agora'!$B$4*0.000531</f>
        <v>31.565826000000001</v>
      </c>
      <c r="Y20" s="123">
        <f>'Parameters | Agora'!$B$4*0.000260670342662528</f>
        <v>15.495809189916638</v>
      </c>
      <c r="Z20" s="123">
        <f>'Parameters | Agora'!$B$4*0.000260670342662528</f>
        <v>15.495809189916638</v>
      </c>
      <c r="AA20" s="123">
        <f>'Parameters | Agora'!$B$4*0.000258934193853167</f>
        <v>15.392602087795368</v>
      </c>
      <c r="AB20" s="123">
        <f>'Parameters | Agora'!$B$4*0.00000091</f>
        <v>5.4095859999999996E-2</v>
      </c>
      <c r="AC20" s="123">
        <f>'Parameters | Agora'!$B$4*0.0000471114861653942</f>
        <v>2.8005894065880237</v>
      </c>
      <c r="AD20" s="123">
        <f>'Parameters | Agora'!$B$4*5.36287210160752E-07</f>
        <v>3.1880129495216063E-2</v>
      </c>
      <c r="AE20" s="123">
        <f>'Parameters | Agora'!$B$4*5.36287210160752E-07</f>
        <v>3.1880129495216063E-2</v>
      </c>
      <c r="AF20" s="123">
        <f>'Parameters | Agora'!$B$4*0.000281365323992451</f>
        <v>16.726043050055242</v>
      </c>
      <c r="AG20" s="123">
        <f>'Parameters | Agora'!$B$4*1.44433522239783E-06</f>
        <v>8.5859951630661402E-2</v>
      </c>
      <c r="AH20" s="123">
        <f>'Parameters | Agora'!$B$4*1.99025248592401E-06</f>
        <v>0.11831254927823871</v>
      </c>
      <c r="AI20" s="123">
        <f>'Parameters | Agora'!$B$4*4.20051625637216E-08</f>
        <v>2.4970388937629942E-3</v>
      </c>
      <c r="AJ20" s="123">
        <f>'Parameters | Agora'!$B$4*1.52551041251208E-08</f>
        <v>9.0685491982193099E-4</v>
      </c>
    </row>
    <row r="21" spans="1:36">
      <c r="A21" s="120" t="s">
        <v>352</v>
      </c>
      <c r="B21" s="120" t="s">
        <v>353</v>
      </c>
      <c r="C21" s="120" t="s">
        <v>119</v>
      </c>
      <c r="D21" s="120" t="s">
        <v>325</v>
      </c>
      <c r="E21" s="120" t="s">
        <v>316</v>
      </c>
      <c r="F21" s="121">
        <v>2023</v>
      </c>
      <c r="G21" s="123">
        <f>'Parameters | Agora'!$B$4*0.00016174451816015</f>
        <v>9.6150646265482766</v>
      </c>
      <c r="H21" s="123">
        <f>'Parameters | Agora'!$B$4*2.59532051350803E-06</f>
        <v>0.15428142324599836</v>
      </c>
      <c r="I21" s="123">
        <f>'Parameters | Agora'!$B$4*1.17484448804455E-06</f>
        <v>6.9839805436296323E-2</v>
      </c>
      <c r="J21" s="123">
        <f>'Parameters | Agora'!$B$4*2.24299408328451E-07</f>
        <v>1.3333702627493097E-2</v>
      </c>
      <c r="K21" s="123">
        <f>'Parameters | Agora'!$B$4*2.82808825515434E-07</f>
        <v>1.6811853441590488E-2</v>
      </c>
      <c r="L21" s="123">
        <f>'Parameters | Agora'!$B$4*7.28231373129231E-06</f>
        <v>0.43290442207040264</v>
      </c>
      <c r="M21" s="123">
        <f>'Parameters | Agora'!$B$4*0.0000103150228756298</f>
        <v>0.61318684986468908</v>
      </c>
      <c r="N21" s="123">
        <f>'Parameters | Agora'!$B$4*0.0000182789870676146</f>
        <v>1.0866126652214176</v>
      </c>
      <c r="O21" s="123">
        <f>'Parameters | Agora'!$B$4*0.000132787709169909</f>
        <v>7.8936981593144111</v>
      </c>
      <c r="P21" s="123">
        <f>'Parameters | Agora'!$B$4*0.0000845607958171261</f>
        <v>5.026801068144878</v>
      </c>
      <c r="Q21" s="123">
        <f>'Parameters | Agora'!$B$4*0.00000332</f>
        <v>0.19736071999999999</v>
      </c>
      <c r="R21" s="123">
        <f>'Parameters | Agora'!$B$4*0.000000228</f>
        <v>1.3553688E-2</v>
      </c>
      <c r="S21" s="123">
        <f>'Parameters | Agora'!$B$4*0.000000010795</f>
        <v>6.4171957000000001E-4</v>
      </c>
      <c r="T21" s="123">
        <f>'Parameters | Agora'!$B$4*1.96666611291756E-06</f>
        <v>0.11691043374849727</v>
      </c>
      <c r="U21" s="123">
        <f>'Parameters | Agora'!$B$4*2.50326382185567E-06</f>
        <v>0.14880902115403216</v>
      </c>
      <c r="V21" s="123">
        <f>'Parameters | Agora'!$B$4*2.50326382185567E-06</f>
        <v>0.14880902115403216</v>
      </c>
      <c r="W21" s="123">
        <f>'Parameters | Agora'!$B$4*3.88785344054027E-06</f>
        <v>0.23111733562635689</v>
      </c>
      <c r="X21" s="123">
        <f>'Parameters | Agora'!$B$4*0.000531</f>
        <v>31.565826000000001</v>
      </c>
      <c r="Y21" s="123">
        <f>'Parameters | Agora'!$B$4*0.00126646057617066</f>
        <v>75.286015411041063</v>
      </c>
      <c r="Z21" s="123">
        <f>'Parameters | Agora'!$B$4*0.00125681441500656</f>
        <v>74.712589714479961</v>
      </c>
      <c r="AA21" s="123">
        <f>'Parameters | Agora'!$B$4*0.00127731250748028</f>
        <v>75.931119319672732</v>
      </c>
      <c r="AB21" s="123">
        <f>'Parameters | Agora'!$B$4*0.00000091</f>
        <v>5.4095859999999996E-2</v>
      </c>
      <c r="AC21" s="123">
        <f>'Parameters | Agora'!$B$4*0.0001429517389483</f>
        <v>8.497909073520642</v>
      </c>
      <c r="AD21" s="123">
        <f>'Parameters | Agora'!$B$4*2.53263908243855E-09</f>
        <v>1.5055526289464203E-4</v>
      </c>
      <c r="AE21" s="123">
        <f>'Parameters | Agora'!$B$4*2.53263908243855E-09</f>
        <v>1.5055526289464203E-4</v>
      </c>
      <c r="AF21" s="123">
        <f>'Parameters | Agora'!$B$4*0.000281365323992451</f>
        <v>16.726043050055242</v>
      </c>
      <c r="AG21" s="123">
        <f>'Parameters | Agora'!$B$4*1.74825488759829E-06</f>
        <v>0.10392676004816795</v>
      </c>
      <c r="AH21" s="123">
        <f>'Parameters | Agora'!$B$4*7.45999283220838E-07</f>
        <v>4.4346673390345932E-2</v>
      </c>
      <c r="AI21" s="123">
        <f>'Parameters | Agora'!$B$4*4.00986829637076E-11</f>
        <v>2.3837063074605617E-6</v>
      </c>
      <c r="AJ21" s="123">
        <f>'Parameters | Agora'!$B$4*8.9695523535814E-09</f>
        <v>5.3320400921099992E-4</v>
      </c>
    </row>
    <row r="22" spans="1:36">
      <c r="A22" s="120" t="s">
        <v>354</v>
      </c>
      <c r="B22" s="120" t="s">
        <v>355</v>
      </c>
      <c r="C22" s="120" t="s">
        <v>118</v>
      </c>
      <c r="D22" s="120" t="s">
        <v>325</v>
      </c>
      <c r="E22" s="120" t="s">
        <v>316</v>
      </c>
      <c r="F22" s="121">
        <v>2023</v>
      </c>
      <c r="G22" s="123">
        <f>'Parameters | Agora'!$B$4*0.000134803785488607</f>
        <v>8.0135458321557316</v>
      </c>
      <c r="H22" s="123">
        <f>'Parameters | Agora'!$B$4*2.59532051350803E-06</f>
        <v>0.15428142324599836</v>
      </c>
      <c r="I22" s="123">
        <f>'Parameters | Agora'!$B$4*9.79158280913225E-07</f>
        <v>5.8207043167167571E-2</v>
      </c>
      <c r="J22" s="123">
        <f>'Parameters | Agora'!$B$4*2.87307050554589E-07</f>
        <v>1.7079254927268098E-2</v>
      </c>
      <c r="K22" s="123">
        <f>'Parameters | Agora'!$B$4*2.35703198369416E-07</f>
        <v>1.4011612330268304E-2</v>
      </c>
      <c r="L22" s="123">
        <f>'Parameters | Agora'!$B$4*7.28231373129231E-06</f>
        <v>0.43290442207040264</v>
      </c>
      <c r="M22" s="123">
        <f>'Parameters | Agora'!$B$4*0.0000514682489752414</f>
        <v>3.0595815285822003</v>
      </c>
      <c r="N22" s="123">
        <f>'Parameters | Agora'!$B$4*0.000021465235599461</f>
        <v>1.2760223954455585</v>
      </c>
      <c r="O22" s="123">
        <f>'Parameters | Agora'!$B$4*0.000135565179827137</f>
        <v>8.0588076800039854</v>
      </c>
      <c r="P22" s="123">
        <f>'Parameters | Agora'!$B$4*0.00013944349361832</f>
        <v>8.2893579216346502</v>
      </c>
      <c r="Q22" s="123">
        <f>'Parameters | Agora'!$B$4*0.00000332</f>
        <v>0.19736071999999999</v>
      </c>
      <c r="R22" s="123">
        <f>'Parameters | Agora'!$B$4*0.000000228</f>
        <v>1.3553688E-2</v>
      </c>
      <c r="S22" s="123">
        <f>'Parameters | Agora'!$B$4*0.000000010795</f>
        <v>6.4171957000000001E-4</v>
      </c>
      <c r="T22" s="123">
        <f>'Parameters | Agora'!$B$4*5.57603596317713E-07</f>
        <v>3.314730338670277E-2</v>
      </c>
      <c r="U22" s="123">
        <f>'Parameters | Agora'!$B$4*0.0000245079999636549</f>
        <v>1.4569025658394292</v>
      </c>
      <c r="V22" s="123">
        <f>'Parameters | Agora'!$B$4*0.0000245079999636549</f>
        <v>1.4569025658394292</v>
      </c>
      <c r="W22" s="123">
        <f>'Parameters | Agora'!$B$4*3.88785344054027E-06</f>
        <v>0.23111733562635689</v>
      </c>
      <c r="X22" s="123">
        <f>'Parameters | Agora'!$B$4*0.000531</f>
        <v>31.565826000000001</v>
      </c>
      <c r="Y22" s="123">
        <f>'Parameters | Agora'!$B$4*0.000797902594756434</f>
        <v>47.432117647890976</v>
      </c>
      <c r="Z22" s="123">
        <f>'Parameters | Agora'!$B$4*0.000808296728174717</f>
        <v>48.050007303074231</v>
      </c>
      <c r="AA22" s="123">
        <f>'Parameters | Agora'!$B$4*0.000516955282656371</f>
        <v>30.730923732790632</v>
      </c>
      <c r="AB22" s="123">
        <f>'Parameters | Agora'!$B$4*0.00000091</f>
        <v>5.4095859999999996E-2</v>
      </c>
      <c r="AC22" s="123">
        <f>'Parameters | Agora'!$B$4*0.000119141197312972</f>
        <v>7.0824676154669328</v>
      </c>
      <c r="AD22" s="123">
        <f>'Parameters | Agora'!$B$4*1.21538900671024E-06</f>
        <v>7.2250014892896924E-2</v>
      </c>
      <c r="AE22" s="123">
        <f>'Parameters | Agora'!$B$4*1.21538900671024E-06</f>
        <v>7.2250014892896924E-2</v>
      </c>
      <c r="AF22" s="123">
        <f>'Parameters | Agora'!$B$4*0.000281365323992451</f>
        <v>16.726043050055242</v>
      </c>
      <c r="AG22" s="123">
        <f>'Parameters | Agora'!$B$4*2.1467033665814E-07</f>
        <v>1.276129283297979E-2</v>
      </c>
      <c r="AH22" s="123">
        <f>'Parameters | Agora'!$B$4*0.0000243706766779243</f>
        <v>1.4487392457958881</v>
      </c>
      <c r="AI22" s="123">
        <f>-'Parameters | Agora'!$B$4*9.04319387837276E-08</f>
        <v>-5.3758170329374711E-3</v>
      </c>
      <c r="AJ22" s="123">
        <f>'Parameters | Agora'!$B$4*1.30848878561689E-08</f>
        <v>7.778442434978165E-4</v>
      </c>
    </row>
    <row r="23" spans="1:36">
      <c r="A23" s="120" t="s">
        <v>356</v>
      </c>
      <c r="B23" s="120" t="s">
        <v>357</v>
      </c>
      <c r="C23" s="120" t="s">
        <v>116</v>
      </c>
      <c r="D23" s="120" t="s">
        <v>325</v>
      </c>
      <c r="E23" s="120" t="s">
        <v>316</v>
      </c>
      <c r="F23" s="121">
        <v>2023</v>
      </c>
      <c r="G23" s="123">
        <f>'Parameters | Agora'!$B$4*0.000112372955607334</f>
        <v>6.6801227190335766</v>
      </c>
      <c r="H23" s="123">
        <f>'Parameters | Agora'!$B$4*2.59532051350803E-06</f>
        <v>0.15428142324599836</v>
      </c>
      <c r="I23" s="123">
        <f>'Parameters | Agora'!$B$4*8.16230120206186E-07</f>
        <v>4.8521615725776936E-2</v>
      </c>
      <c r="J23" s="123">
        <f>'Parameters | Agora'!$B$4*8.63343994036925E-08</f>
        <v>5.1322347069519044E-3</v>
      </c>
      <c r="K23" s="123">
        <f>'Parameters | Agora'!$B$4*1.96483095418054E-07</f>
        <v>1.1680134090221639E-2</v>
      </c>
      <c r="L23" s="123">
        <f>'Parameters | Agora'!$B$4*7.28231373129231E-06</f>
        <v>0.43290442207040264</v>
      </c>
      <c r="M23" s="123">
        <f>'Parameters | Agora'!$B$4*0.00039430093193396</f>
        <v>23.439613199746187</v>
      </c>
      <c r="N23" s="123">
        <f>'Parameters | Agora'!$B$4*0.0000627880867119744</f>
        <v>3.7325006026800303</v>
      </c>
      <c r="O23" s="123">
        <f>'Parameters | Agora'!$B$4*0.0000544605836210714</f>
        <v>3.2374638539382108</v>
      </c>
      <c r="P23" s="123">
        <f>'Parameters | Agora'!$B$4*0.000209924211281851</f>
        <v>12.479154663860914</v>
      </c>
      <c r="Q23" s="123">
        <f>'Parameters | Agora'!$B$4*0.00000332</f>
        <v>0.19736071999999999</v>
      </c>
      <c r="R23" s="123">
        <f>'Parameters | Agora'!$B$4*0.000000228</f>
        <v>1.3553688E-2</v>
      </c>
      <c r="S23" s="123">
        <f>'Parameters | Agora'!$B$4*0.000000010795</f>
        <v>6.4171957000000001E-4</v>
      </c>
      <c r="T23" s="123">
        <f>'Parameters | Agora'!$B$4*1.23890355937229E-06</f>
        <v>7.3647860990445152E-2</v>
      </c>
      <c r="U23" s="123">
        <f>'Parameters | Agora'!$B$4*3.08260025769647E-06</f>
        <v>0.18324825491902436</v>
      </c>
      <c r="V23" s="123">
        <f>'Parameters | Agora'!$B$4*3.08260025769647E-06</f>
        <v>0.18324825491902436</v>
      </c>
      <c r="W23" s="123">
        <f>'Parameters | Agora'!$B$4*3.88785344054027E-06</f>
        <v>0.23111733562635689</v>
      </c>
      <c r="X23" s="123">
        <f>'Parameters | Agora'!$B$4*0.000531</f>
        <v>31.565826000000001</v>
      </c>
      <c r="Y23" s="123">
        <f>'Parameters | Agora'!$B$4*0.000798145833023304</f>
        <v>47.44657718990333</v>
      </c>
      <c r="Z23" s="123">
        <f>'Parameters | Agora'!$B$4*0.000776634173631475</f>
        <v>46.16779508569666</v>
      </c>
      <c r="AA23" s="123">
        <f>'Parameters | Agora'!$B$4*0.000850659589773945</f>
        <v>50.568309973701936</v>
      </c>
      <c r="AB23" s="123">
        <f>'Parameters | Agora'!$B$4*0.00000091</f>
        <v>5.4095859999999996E-2</v>
      </c>
      <c r="AC23" s="123">
        <f>'Parameters | Agora'!$B$4*0.0000993165616835488</f>
        <v>5.9039723258402423</v>
      </c>
      <c r="AD23" s="123">
        <f>'Parameters | Agora'!$B$4*1.76857214089766E-06</f>
        <v>0.1051345394878023</v>
      </c>
      <c r="AE23" s="123">
        <f>'Parameters | Agora'!$B$4*1.76857214089766E-06</f>
        <v>0.1051345394878023</v>
      </c>
      <c r="AF23" s="123">
        <f>'Parameters | Agora'!$B$4*0.000281365323992451</f>
        <v>16.726043050055242</v>
      </c>
      <c r="AG23" s="123">
        <f>'Parameters | Agora'!$B$4*9.24808436073892E-07</f>
        <v>5.4976162290848583E-2</v>
      </c>
      <c r="AH23" s="123">
        <f>'Parameters | Agora'!$B$4*2.11378964046656E-06</f>
        <v>0.12565633896717512</v>
      </c>
      <c r="AI23" s="123">
        <f>'Parameters | Agora'!$B$4*3.71190800441363E-08</f>
        <v>2.2065808323037265E-3</v>
      </c>
      <c r="AJ23" s="123">
        <f>'Parameters | Agora'!$B$4*6.88310111187507E-09</f>
        <v>4.0917282869652537E-4</v>
      </c>
    </row>
    <row r="24" spans="1:36">
      <c r="A24" s="120" t="s">
        <v>358</v>
      </c>
      <c r="B24" s="120" t="s">
        <v>359</v>
      </c>
      <c r="C24" s="120" t="s">
        <v>115</v>
      </c>
      <c r="D24" s="120" t="s">
        <v>322</v>
      </c>
      <c r="E24" s="120" t="s">
        <v>316</v>
      </c>
      <c r="F24" s="121">
        <v>2023</v>
      </c>
      <c r="G24" s="123">
        <f>'Parameters | Agora'!$B$4*0.0000915657525191302</f>
        <v>5.4432177242522144</v>
      </c>
      <c r="H24" s="123">
        <f>'Parameters | Agora'!$B$4*2.59532051350803E-06</f>
        <v>0.15428142324599836</v>
      </c>
      <c r="I24" s="123">
        <f>'Parameters | Agora'!$B$4*3.93586580732525E-07</f>
        <v>2.339714787822568E-2</v>
      </c>
      <c r="J24" s="123">
        <f>'Parameters | Agora'!$B$4*4.88936917779182E-08</f>
        <v>2.9065344014301254E-3</v>
      </c>
      <c r="K24" s="123">
        <f>'Parameters | Agora'!$B$4*9.47442489353364E-08</f>
        <v>5.6321666222100076E-3</v>
      </c>
      <c r="L24" s="123">
        <f>'Parameters | Agora'!$B$4*7.28231373129231E-06</f>
        <v>0.43290442207040264</v>
      </c>
      <c r="M24" s="123">
        <f>'Parameters | Agora'!$B$4*0.0000421772422853037</f>
        <v>2.5072683448921635</v>
      </c>
      <c r="N24" s="123">
        <f>'Parameters | Agora'!$B$4*0.0000915887099960505</f>
        <v>5.4445824544252179</v>
      </c>
      <c r="O24" s="123">
        <f>'Parameters | Agora'!$B$4*0.0000338022964476209</f>
        <v>2.0094113146252721</v>
      </c>
      <c r="P24" s="123">
        <f>'Parameters | Agora'!$B$4*0.0000823232634891455</f>
        <v>4.8937887213757438</v>
      </c>
      <c r="Q24" s="123">
        <f>'Parameters | Agora'!$B$4*0.00000332</f>
        <v>0.19736071999999999</v>
      </c>
      <c r="R24" s="123">
        <f>'Parameters | Agora'!$B$4*0.000000228</f>
        <v>1.3553688E-2</v>
      </c>
      <c r="S24" s="123">
        <f>'Parameters | Agora'!$B$4*0.000000010795</f>
        <v>6.4171957000000001E-4</v>
      </c>
      <c r="T24" s="123">
        <f>'Parameters | Agora'!$B$4*6.34433460290662E-07</f>
        <v>3.7714531480438691E-2</v>
      </c>
      <c r="U24" s="123">
        <f>'Parameters | Agora'!$B$4*7.7140968713348E-07</f>
        <v>4.5857220261336852E-2</v>
      </c>
      <c r="V24" s="123">
        <f>'Parameters | Agora'!$B$4*7.7140968713348E-07</f>
        <v>4.5857220261336852E-2</v>
      </c>
      <c r="W24" s="123">
        <f>'Parameters | Agora'!$B$4*3.88785344054027E-06</f>
        <v>0.23111733562635689</v>
      </c>
      <c r="X24" s="123">
        <f>'Parameters | Agora'!$B$4*0.000531</f>
        <v>31.565826000000001</v>
      </c>
      <c r="Y24" s="123">
        <f>'Parameters | Agora'!$B$4*0.00166456053961483</f>
        <v>98.951465837943189</v>
      </c>
      <c r="Z24" s="123">
        <f>'Parameters | Agora'!$B$4*0.00151901477269166</f>
        <v>90.299352177428418</v>
      </c>
      <c r="AA24" s="123">
        <f>'Parameters | Agora'!$B$4*0.00188573925965529</f>
        <v>112.09965602946838</v>
      </c>
      <c r="AB24" s="123">
        <f>'Parameters | Agora'!$B$4*0.00000091</f>
        <v>5.4095859999999996E-2</v>
      </c>
      <c r="AC24" s="123">
        <f>'Parameters | Agora'!$B$4*0.0000809269068257315</f>
        <v>4.810780903162434</v>
      </c>
      <c r="AD24" s="123">
        <f>'Parameters | Agora'!$B$4*0</f>
        <v>0</v>
      </c>
      <c r="AE24" s="123">
        <f>'Parameters | Agora'!$B$4*0</f>
        <v>0</v>
      </c>
      <c r="AF24" s="123">
        <f>'Parameters | Agora'!$B$4*0.000281365323992451</f>
        <v>16.726043050055242</v>
      </c>
      <c r="AG24" s="123">
        <f>'Parameters | Agora'!$B$4*5.62555492365203E-07</f>
        <v>3.3441673799141855E-2</v>
      </c>
      <c r="AH24" s="123">
        <f>'Parameters | Agora'!$B$4*2.06786283326226E-07</f>
        <v>1.2292617398610831E-2</v>
      </c>
      <c r="AI24" s="123">
        <f>'Parameters | Agora'!$B$4*0</f>
        <v>0</v>
      </c>
      <c r="AJ24" s="123">
        <f>'Parameters | Agora'!$B$4*2.06791144205049E-09</f>
        <v>1.2292906358413343E-4</v>
      </c>
    </row>
    <row r="25" spans="1:36">
      <c r="A25" s="120" t="s">
        <v>360</v>
      </c>
      <c r="B25" s="120" t="s">
        <v>361</v>
      </c>
      <c r="C25" s="120" t="s">
        <v>119</v>
      </c>
      <c r="D25" s="120" t="s">
        <v>322</v>
      </c>
      <c r="E25" s="120" t="s">
        <v>316</v>
      </c>
      <c r="F25" s="121">
        <v>2023</v>
      </c>
      <c r="G25" s="123">
        <f>'Parameters | Agora'!$B$4*0.0000698966518899526</f>
        <v>4.1550763682501222</v>
      </c>
      <c r="H25" s="123">
        <f>'Parameters | Agora'!$B$4*2.59532051350803E-06</f>
        <v>0.15428142324599836</v>
      </c>
      <c r="I25" s="123">
        <f>'Parameters | Agora'!$B$4*2.65531993085398E-07</f>
        <v>1.5784814860954569E-2</v>
      </c>
      <c r="J25" s="123">
        <f>'Parameters | Agora'!$B$4*2.24299408328451E-07</f>
        <v>1.3333702627493097E-2</v>
      </c>
      <c r="K25" s="123">
        <f>'Parameters | Agora'!$B$4*6.39189202191719E-08</f>
        <v>3.7997241313488927E-3</v>
      </c>
      <c r="L25" s="123">
        <f>'Parameters | Agora'!$B$4*7.28231373129231E-06</f>
        <v>0.43290442207040264</v>
      </c>
      <c r="M25" s="123">
        <f>'Parameters | Agora'!$B$4*0.0000098092809067783</f>
        <v>0.58312251278434291</v>
      </c>
      <c r="N25" s="123">
        <f>'Parameters | Agora'!$B$4*2.43033328598249E-07</f>
        <v>1.4447359251851512E-2</v>
      </c>
      <c r="O25" s="123">
        <f>'Parameters | Agora'!$B$4*0</f>
        <v>0</v>
      </c>
      <c r="P25" s="123">
        <f>'Parameters | Agora'!$B$4*3.08202108772649E-07</f>
        <v>1.8321382558098891E-2</v>
      </c>
      <c r="Q25" s="123">
        <f>'Parameters | Agora'!$B$4*0.00000332</f>
        <v>0.19736071999999999</v>
      </c>
      <c r="R25" s="123">
        <f>'Parameters | Agora'!$B$4*0.000000228</f>
        <v>1.3553688E-2</v>
      </c>
      <c r="S25" s="123">
        <f>'Parameters | Agora'!$B$4*0.000000010795</f>
        <v>6.4171957000000001E-4</v>
      </c>
      <c r="T25" s="123">
        <f>'Parameters | Agora'!$B$4*1.32188677377363E-07</f>
        <v>7.8580881153747211E-3</v>
      </c>
      <c r="U25" s="123">
        <f>'Parameters | Agora'!$B$4*8.69807619736414E-08</f>
        <v>5.1706583762850863E-3</v>
      </c>
      <c r="V25" s="123">
        <f>'Parameters | Agora'!$B$4*8.69807619736414E-08</f>
        <v>5.1706583762850863E-3</v>
      </c>
      <c r="W25" s="123">
        <f>'Parameters | Agora'!$B$4*3.88785344054027E-06</f>
        <v>0.23111733562635689</v>
      </c>
      <c r="X25" s="123">
        <f>'Parameters | Agora'!$B$4*0.000531</f>
        <v>31.565826000000001</v>
      </c>
      <c r="Y25" s="123">
        <f>'Parameters | Agora'!$B$4*0.000740822681464235</f>
        <v>44.038945122322914</v>
      </c>
      <c r="Z25" s="123">
        <f>'Parameters | Agora'!$B$4*0.00072290887247407</f>
        <v>42.974040833093561</v>
      </c>
      <c r="AA25" s="123">
        <f>'Parameters | Agora'!$B$4*0.00083328105044573</f>
        <v>49.535225324796869</v>
      </c>
      <c r="AB25" s="123">
        <f>'Parameters | Agora'!$B$4*0.00000091</f>
        <v>5.4095859999999996E-2</v>
      </c>
      <c r="AC25" s="123">
        <f>'Parameters | Agora'!$B$4*0.0000617754966164561</f>
        <v>3.672306171861849</v>
      </c>
      <c r="AD25" s="123">
        <f>'Parameters | Agora'!$B$4*5.59760583114608E-07</f>
        <v>3.3275527623830986E-2</v>
      </c>
      <c r="AE25" s="123">
        <f>'Parameters | Agora'!$B$4*5.59760583114608E-07</f>
        <v>3.3275527623830986E-2</v>
      </c>
      <c r="AF25" s="123">
        <f>'Parameters | Agora'!$B$4*0.000281365323992451</f>
        <v>16.726043050055242</v>
      </c>
      <c r="AG25" s="123">
        <f>'Parameters | Agora'!$B$4*8.73874377247289E-08</f>
        <v>5.1948336229842348E-3</v>
      </c>
      <c r="AH25" s="123">
        <f>'Parameters | Agora'!$B$4*3.58664145646355E-13</f>
        <v>2.1321148802093221E-8</v>
      </c>
      <c r="AI25" s="123">
        <f>-'Parameters | Agora'!$B$4*7.17689543902198E-10</f>
        <v>-4.2663772626810066E-5</v>
      </c>
      <c r="AJ25" s="123">
        <f>'Parameters | Agora'!$B$4*3.1065512866905E-10</f>
        <v>1.8467204778860347E-5</v>
      </c>
    </row>
    <row r="26" spans="1:36">
      <c r="A26" s="120" t="s">
        <v>362</v>
      </c>
      <c r="B26" s="120" t="s">
        <v>363</v>
      </c>
      <c r="C26" s="120" t="s">
        <v>116</v>
      </c>
      <c r="D26" s="120" t="s">
        <v>322</v>
      </c>
      <c r="E26" s="120" t="s">
        <v>316</v>
      </c>
      <c r="F26" s="121">
        <v>2023</v>
      </c>
      <c r="G26" s="123">
        <f>'Parameters | Agora'!$B$4*0.0000826407263528221</f>
        <v>4.9126606187698618</v>
      </c>
      <c r="H26" s="123">
        <f>'Parameters | Agora'!$B$4*2.59532051350803E-06</f>
        <v>0.15428142324599836</v>
      </c>
      <c r="I26" s="123">
        <f>'Parameters | Agora'!$B$4*6.58288031905459E-07</f>
        <v>3.9132590344651913E-2</v>
      </c>
      <c r="J26" s="123">
        <f>'Parameters | Agora'!$B$4*8.63343994036925E-08</f>
        <v>5.1322347069519044E-3</v>
      </c>
      <c r="K26" s="123">
        <f>'Parameters | Agora'!$B$4*1.58463240921286E-07</f>
        <v>9.420005819806768E-3</v>
      </c>
      <c r="L26" s="123">
        <f>'Parameters | Agora'!$B$4*7.28231373129231E-06</f>
        <v>0.43290442207040264</v>
      </c>
      <c r="M26" s="123">
        <f>'Parameters | Agora'!$B$4*0.000152259276303105</f>
        <v>9.0512049391143812</v>
      </c>
      <c r="N26" s="123">
        <f>'Parameters | Agora'!$B$4*0.0000990255904244239</f>
        <v>5.8866752483703033</v>
      </c>
      <c r="O26" s="123">
        <f>'Parameters | Agora'!$B$4*0.000102205375636074</f>
        <v>6.0757007600620554</v>
      </c>
      <c r="P26" s="123">
        <f>'Parameters | Agora'!$B$4*0.000186256352752968</f>
        <v>11.072195145752936</v>
      </c>
      <c r="Q26" s="123">
        <f>'Parameters | Agora'!$B$4*0.00000332</f>
        <v>0.19736071999999999</v>
      </c>
      <c r="R26" s="123">
        <f>'Parameters | Agora'!$B$4*0.000000228</f>
        <v>1.3553688E-2</v>
      </c>
      <c r="S26" s="123">
        <f>'Parameters | Agora'!$B$4*0.000000010795</f>
        <v>6.4171957000000001E-4</v>
      </c>
      <c r="T26" s="123">
        <f>'Parameters | Agora'!$B$4*1.52407788088979E-06</f>
        <v>9.0600333707374456E-2</v>
      </c>
      <c r="U26" s="123">
        <f>'Parameters | Agora'!$B$4*0.0000023288943809994</f>
        <v>0.13844345537289032</v>
      </c>
      <c r="V26" s="123">
        <f>'Parameters | Agora'!$B$4*0.0000023288943809994</f>
        <v>0.13844345537289032</v>
      </c>
      <c r="W26" s="123">
        <f>'Parameters | Agora'!$B$4*3.88785344054027E-06</f>
        <v>0.23111733562635689</v>
      </c>
      <c r="X26" s="123">
        <f>'Parameters | Agora'!$B$4*0.000531</f>
        <v>31.565826000000001</v>
      </c>
      <c r="Y26" s="123">
        <f>'Parameters | Agora'!$B$4*0.000451855620422478</f>
        <v>26.861009211634627</v>
      </c>
      <c r="Z26" s="123">
        <f>'Parameters | Agora'!$B$4*0.000395270410186756</f>
        <v>23.497244803961898</v>
      </c>
      <c r="AA26" s="123">
        <f>'Parameters | Agora'!$B$4*0.000465072603835201</f>
        <v>27.646706007587358</v>
      </c>
      <c r="AB26" s="123">
        <f>'Parameters | Agora'!$B$4*0.00000091</f>
        <v>5.4095859999999996E-2</v>
      </c>
      <c r="AC26" s="123">
        <f>'Parameters | Agora'!$B$4*0.0000730388619933896</f>
        <v>4.3418681900590386</v>
      </c>
      <c r="AD26" s="123">
        <f>'Parameters | Agora'!$B$4*1.31396650115844E-06</f>
        <v>7.8110052627864621E-2</v>
      </c>
      <c r="AE26" s="123">
        <f>'Parameters | Agora'!$B$4*1.31396650115844E-06</f>
        <v>7.8110052627864621E-2</v>
      </c>
      <c r="AF26" s="123">
        <f>'Parameters | Agora'!$B$4*0.000281365323992451</f>
        <v>16.726043050055242</v>
      </c>
      <c r="AG26" s="123">
        <f>'Parameters | Agora'!$B$4*1.12354176827306E-06</f>
        <v>6.679006395676032E-2</v>
      </c>
      <c r="AH26" s="123">
        <f>'Parameters | Agora'!$B$4*1.10609909709019E-06</f>
        <v>6.5753166925623441E-2</v>
      </c>
      <c r="AI26" s="123">
        <f>'Parameters | Agora'!$B$4*9.08488859421237E-08</f>
        <v>5.4006028737154854E-3</v>
      </c>
      <c r="AJ26" s="123">
        <f>'Parameters | Agora'!$B$4*8.40462969402576E-09</f>
        <v>4.996216167910553E-4</v>
      </c>
    </row>
    <row r="27" spans="1:36">
      <c r="A27" s="120" t="s">
        <v>364</v>
      </c>
      <c r="B27" s="120" t="s">
        <v>365</v>
      </c>
      <c r="C27" s="120" t="s">
        <v>114</v>
      </c>
      <c r="D27" s="120" t="s">
        <v>121</v>
      </c>
      <c r="E27" s="120" t="s">
        <v>316</v>
      </c>
      <c r="F27" s="121">
        <v>2023</v>
      </c>
      <c r="G27" s="123">
        <f>'Parameters | Agora'!$B$4*0.0000309930168607301</f>
        <v>1.8424108803029613</v>
      </c>
      <c r="H27" s="123">
        <f>'Parameters | Agora'!$B$4*2.59532051350803E-06</f>
        <v>0.15428142324599836</v>
      </c>
      <c r="I27" s="123">
        <f>'Parameters | Agora'!$B$4*1.46527464475524E-07</f>
        <v>8.7104716532119993E-3</v>
      </c>
      <c r="J27" s="123">
        <f>'Parameters | Agora'!$B$4*8.62473484142803E-08</f>
        <v>5.1270598738353068E-3</v>
      </c>
      <c r="K27" s="123">
        <f>'Parameters | Agora'!$B$4*3.52721237200083E-08</f>
        <v>2.0967866666596136E-3</v>
      </c>
      <c r="L27" s="123">
        <f>'Parameters | Agora'!$B$4*7.28231373129231E-06</f>
        <v>0.43290442207040264</v>
      </c>
      <c r="M27" s="123">
        <f>'Parameters | Agora'!$B$4*0.0000245252524019136</f>
        <v>1.4579281542841558</v>
      </c>
      <c r="N27" s="123">
        <f>'Parameters | Agora'!$B$4*0</f>
        <v>0</v>
      </c>
      <c r="O27" s="123">
        <f>'Parameters | Agora'!$B$4*0</f>
        <v>0</v>
      </c>
      <c r="P27" s="123">
        <f>'Parameters | Agora'!$B$4*0</f>
        <v>0</v>
      </c>
      <c r="Q27" s="123">
        <f>'Parameters | Agora'!$B$4*0.00000332</f>
        <v>0.19736071999999999</v>
      </c>
      <c r="R27" s="123">
        <f>'Parameters | Agora'!$B$4*0.000000228</f>
        <v>1.3553688E-2</v>
      </c>
      <c r="S27" s="123">
        <f>'Parameters | Agora'!$B$4*0.000000010795</f>
        <v>6.4171957000000001E-4</v>
      </c>
      <c r="T27" s="123">
        <f>'Parameters | Agora'!$B$4*3.36540135069585E-07</f>
        <v>2.0005964869346551E-2</v>
      </c>
      <c r="U27" s="123">
        <f>'Parameters | Agora'!$B$4*9.53670126970689E-07</f>
        <v>5.6691874367899575E-2</v>
      </c>
      <c r="V27" s="123">
        <f>'Parameters | Agora'!$B$4*9.53670126970689E-07</f>
        <v>5.6691874367899575E-2</v>
      </c>
      <c r="W27" s="123">
        <f>'Parameters | Agora'!$B$4*3.88785344054027E-06</f>
        <v>0.23111733562635689</v>
      </c>
      <c r="X27" s="123">
        <f>'Parameters | Agora'!$B$4*0.000531</f>
        <v>31.565826000000001</v>
      </c>
      <c r="Y27" s="123">
        <f>'Parameters | Agora'!$B$4*0.000300074941895494</f>
        <v>17.838254995919538</v>
      </c>
      <c r="Z27" s="123">
        <f>'Parameters | Agora'!$B$4*0.000321946293345603</f>
        <v>19.138419354222716</v>
      </c>
      <c r="AA27" s="123">
        <f>'Parameters | Agora'!$B$4*0.000295700671605473</f>
        <v>17.578222124258946</v>
      </c>
      <c r="AB27" s="123">
        <f>'Parameters | Agora'!$B$4*0.00000091</f>
        <v>5.4095859999999996E-2</v>
      </c>
      <c r="AC27" s="123">
        <f>'Parameters | Agora'!$B$4*0.0000273919988503629</f>
        <v>1.628344763658673</v>
      </c>
      <c r="AD27" s="123">
        <f>'Parameters | Agora'!$B$4*0</f>
        <v>0</v>
      </c>
      <c r="AE27" s="123">
        <f>'Parameters | Agora'!$B$4*0</f>
        <v>0</v>
      </c>
      <c r="AF27" s="123">
        <f>'Parameters | Agora'!$B$4*0.000281365323992451</f>
        <v>16.726043050055242</v>
      </c>
      <c r="AG27" s="123">
        <f>'Parameters | Agora'!$B$4*3.02903787980994E-07</f>
        <v>1.8006418580318168E-2</v>
      </c>
      <c r="AH27" s="123">
        <f>'Parameters | Agora'!$B$4*6.47419183777585E-07</f>
        <v>3.8486480798842315E-2</v>
      </c>
      <c r="AI27" s="123">
        <f>'Parameters | Agora'!$B$4*0</f>
        <v>0</v>
      </c>
      <c r="AJ27" s="123">
        <f>'Parameters | Agora'!$B$4*3.34715521210986E-09</f>
        <v>1.9897498873908275E-4</v>
      </c>
    </row>
    <row r="28" spans="1:36">
      <c r="A28" s="120" t="s">
        <v>366</v>
      </c>
      <c r="B28" s="120" t="s">
        <v>367</v>
      </c>
      <c r="C28" s="120" t="s">
        <v>115</v>
      </c>
      <c r="D28" s="120" t="s">
        <v>322</v>
      </c>
      <c r="E28" s="120" t="s">
        <v>316</v>
      </c>
      <c r="F28" s="121">
        <v>2023</v>
      </c>
      <c r="G28" s="123">
        <f>'Parameters | Agora'!$B$4*0.000025645355756857</f>
        <v>1.5245138183221212</v>
      </c>
      <c r="H28" s="123">
        <f>'Parameters | Agora'!$B$4*2.59532051350803E-06</f>
        <v>0.15428142324599836</v>
      </c>
      <c r="I28" s="123">
        <f>'Parameters | Agora'!$B$4*3.70751370462162E-07</f>
        <v>2.2039685968493681E-2</v>
      </c>
      <c r="J28" s="123">
        <f>'Parameters | Agora'!$B$4*4.88936917779182E-08</f>
        <v>2.9065344014301254E-3</v>
      </c>
      <c r="K28" s="123">
        <f>'Parameters | Agora'!$B$4*8.924735205862E-08</f>
        <v>5.3053980904767244E-3</v>
      </c>
      <c r="L28" s="123">
        <f>'Parameters | Agora'!$B$4*7.28231373129231E-06</f>
        <v>0.43290442207040264</v>
      </c>
      <c r="M28" s="123">
        <f>'Parameters | Agora'!$B$4*0.0000250484313946345</f>
        <v>1.4890290526854426</v>
      </c>
      <c r="N28" s="123">
        <f>'Parameters | Agora'!$B$4*0</f>
        <v>0</v>
      </c>
      <c r="O28" s="123">
        <f>'Parameters | Agora'!$B$4*0.0000259956169086532</f>
        <v>1.5453354427517982</v>
      </c>
      <c r="P28" s="123">
        <f>'Parameters | Agora'!$B$4*0.0000297399180637271</f>
        <v>1.7679191692163212</v>
      </c>
      <c r="Q28" s="123">
        <f>'Parameters | Agora'!$B$4*0.00000332</f>
        <v>0.19736071999999999</v>
      </c>
      <c r="R28" s="123">
        <f>'Parameters | Agora'!$B$4*0.000000228</f>
        <v>1.3553688E-2</v>
      </c>
      <c r="S28" s="123">
        <f>'Parameters | Agora'!$B$4*0.000000010795</f>
        <v>6.4171957000000001E-4</v>
      </c>
      <c r="T28" s="123">
        <f>'Parameters | Agora'!$B$4*6.56655080210854E-07</f>
        <v>3.9035517898214425E-2</v>
      </c>
      <c r="U28" s="123">
        <f>'Parameters | Agora'!$B$4*7.26147985576939E-07</f>
        <v>4.3166593150606718E-2</v>
      </c>
      <c r="V28" s="123">
        <f>'Parameters | Agora'!$B$4*7.26147985576939E-07</f>
        <v>4.3166593150606718E-2</v>
      </c>
      <c r="W28" s="123">
        <f>'Parameters | Agora'!$B$4*3.88785344054027E-06</f>
        <v>0.23111733562635689</v>
      </c>
      <c r="X28" s="123">
        <f>'Parameters | Agora'!$B$4*0.000531</f>
        <v>31.565826000000001</v>
      </c>
      <c r="Y28" s="123">
        <f>'Parameters | Agora'!$B$4*0.00218022566537959</f>
        <v>129.60569490415511</v>
      </c>
      <c r="Z28" s="123">
        <f>'Parameters | Agora'!$B$4*0.00208313059526147</f>
        <v>123.83378136591335</v>
      </c>
      <c r="AA28" s="123">
        <f>'Parameters | Agora'!$B$4*0.00234036948232765</f>
        <v>139.12560424644948</v>
      </c>
      <c r="AB28" s="123">
        <f>'Parameters | Agora'!$B$4*0.00000091</f>
        <v>5.4095859999999996E-2</v>
      </c>
      <c r="AC28" s="123">
        <f>'Parameters | Agora'!$B$4*0.0000226656720307553</f>
        <v>1.3473835395402796</v>
      </c>
      <c r="AD28" s="123">
        <f>'Parameters | Agora'!$B$4*9.00167585779251E-07</f>
        <v>5.3511362304233354E-2</v>
      </c>
      <c r="AE28" s="123">
        <f>'Parameters | Agora'!$B$4*9.00167585779251E-07</f>
        <v>5.3511362304233354E-2</v>
      </c>
      <c r="AF28" s="123">
        <f>'Parameters | Agora'!$B$4*0.000281365323992451</f>
        <v>16.726043050055242</v>
      </c>
      <c r="AG28" s="123">
        <f>'Parameters | Agora'!$B$4*5.36377893740363E-07</f>
        <v>3.1885520271289623E-2</v>
      </c>
      <c r="AH28" s="123">
        <f>'Parameters | Agora'!$B$4*1.65045303398821E-07</f>
        <v>9.8112831058463131E-3</v>
      </c>
      <c r="AI28" s="123">
        <f>'Parameters | Agora'!$B$4*2.31688455697009E-08</f>
        <v>1.3772951937364398E-3</v>
      </c>
      <c r="AJ28" s="123">
        <f>'Parameters | Agora'!$B$4*1.55594286805559E-09</f>
        <v>9.2494579734432605E-5</v>
      </c>
    </row>
    <row r="29" spans="1:36">
      <c r="A29" s="120" t="s">
        <v>368</v>
      </c>
      <c r="B29" s="120" t="s">
        <v>369</v>
      </c>
      <c r="C29" s="120" t="s">
        <v>119</v>
      </c>
      <c r="D29" s="120" t="s">
        <v>319</v>
      </c>
      <c r="E29" s="120" t="s">
        <v>316</v>
      </c>
      <c r="F29" s="121">
        <v>2023</v>
      </c>
      <c r="G29" s="123">
        <f>'Parameters | Agora'!$B$4*0.000195614554253029</f>
        <v>11.628502792125563</v>
      </c>
      <c r="H29" s="123">
        <f>'Parameters | Agora'!$B$4*2.59532051350803E-06</f>
        <v>0.15428142324599836</v>
      </c>
      <c r="I29" s="123">
        <f>'Parameters | Agora'!$B$4*0.0000014208622552383</f>
        <v>8.4464577624895981E-2</v>
      </c>
      <c r="J29" s="123">
        <f>'Parameters | Agora'!$B$4*2.24299408328451E-07</f>
        <v>1.3333702627493097E-2</v>
      </c>
      <c r="K29" s="123">
        <f>'Parameters | Agora'!$B$4*3.42030276953485E-07</f>
        <v>2.033233184377687E-2</v>
      </c>
      <c r="L29" s="123">
        <f>'Parameters | Agora'!$B$4*7.28231373129231E-06</f>
        <v>0.43290442207040264</v>
      </c>
      <c r="M29" s="123">
        <f>'Parameters | Agora'!$B$4*0.000119612553949901</f>
        <v>7.1104878821058151</v>
      </c>
      <c r="N29" s="123">
        <f>'Parameters | Agora'!$B$4*0.0000515626574629521</f>
        <v>3.0651937355426506</v>
      </c>
      <c r="O29" s="123">
        <f>'Parameters | Agora'!$B$4*0.000298285055794819</f>
        <v>17.731853426778809</v>
      </c>
      <c r="P29" s="123">
        <f>'Parameters | Agora'!$B$4*0.0000981956536765153</f>
        <v>5.8373388284541292</v>
      </c>
      <c r="Q29" s="123">
        <f>'Parameters | Agora'!$B$4*0.00000332</f>
        <v>0.19736071999999999</v>
      </c>
      <c r="R29" s="123">
        <f>'Parameters | Agora'!$B$4*0.000000228</f>
        <v>1.3553688E-2</v>
      </c>
      <c r="S29" s="123">
        <f>'Parameters | Agora'!$B$4*0.000000010795</f>
        <v>6.4171957000000001E-4</v>
      </c>
      <c r="T29" s="123">
        <f>'Parameters | Agora'!$B$4*1.63848979055479E-06</f>
        <v>9.7401664089320036E-2</v>
      </c>
      <c r="U29" s="123">
        <f>'Parameters | Agora'!$B$4*1.38655362003972E-06</f>
        <v>8.2425066496881194E-2</v>
      </c>
      <c r="V29" s="123">
        <f>'Parameters | Agora'!$B$4*1.38655362003972E-06</f>
        <v>8.2425066496881194E-2</v>
      </c>
      <c r="W29" s="123">
        <f>'Parameters | Agora'!$B$4*3.88785344054027E-06</f>
        <v>0.23111733562635689</v>
      </c>
      <c r="X29" s="123">
        <f>'Parameters | Agora'!$B$4*0.000531</f>
        <v>31.565826000000001</v>
      </c>
      <c r="Y29" s="123">
        <f>'Parameters | Agora'!$B$4*0.00128105487218287</f>
        <v>76.153587931782894</v>
      </c>
      <c r="Z29" s="123">
        <f>'Parameters | Agora'!$B$4*0.0011948965425368</f>
        <v>71.031819867642611</v>
      </c>
      <c r="AA29" s="123">
        <f>'Parameters | Agora'!$B$4*0.0014477114952209</f>
        <v>86.06065754490163</v>
      </c>
      <c r="AB29" s="123">
        <f>'Parameters | Agora'!$B$4*0.00000091</f>
        <v>5.4095859999999996E-2</v>
      </c>
      <c r="AC29" s="123">
        <f>'Parameters | Agora'!$B$4*0.000172886481793338</f>
        <v>10.27740979668677</v>
      </c>
      <c r="AD29" s="123">
        <f>'Parameters | Agora'!$B$4*7.92246360784292E-07</f>
        <v>4.7095877163183024E-2</v>
      </c>
      <c r="AE29" s="123">
        <f>'Parameters | Agora'!$B$4*7.92246360784292E-07</f>
        <v>4.7095877163183024E-2</v>
      </c>
      <c r="AF29" s="123">
        <f>'Parameters | Agora'!$B$4*0.000281365323992451</f>
        <v>16.726043050055242</v>
      </c>
      <c r="AG29" s="123">
        <f>'Parameters | Agora'!$B$4*1.37404316365051E-06</f>
        <v>8.168136990636822E-2</v>
      </c>
      <c r="AH29" s="123">
        <f>'Parameters | Agora'!$B$4*1.90444920342592E-13</f>
        <v>1.1321188734685724E-8</v>
      </c>
      <c r="AI29" s="123">
        <f>'Parameters | Agora'!$B$4*4.43710397194166E-09</f>
        <v>2.6376808271604392E-4</v>
      </c>
      <c r="AJ29" s="123">
        <f>'Parameters | Agora'!$B$4*8.07316197235123E-09</f>
        <v>4.7991718660839118E-4</v>
      </c>
    </row>
    <row r="30" spans="1:36">
      <c r="A30" s="120" t="s">
        <v>370</v>
      </c>
      <c r="B30" s="120" t="s">
        <v>371</v>
      </c>
      <c r="C30" s="120" t="s">
        <v>119</v>
      </c>
      <c r="D30" s="120" t="s">
        <v>319</v>
      </c>
      <c r="E30" s="120" t="s">
        <v>316</v>
      </c>
      <c r="F30" s="121">
        <v>2023</v>
      </c>
      <c r="G30" s="123">
        <f>'Parameters | Agora'!$B$4*0.000211439614228215</f>
        <v>12.56923930741047</v>
      </c>
      <c r="H30" s="123">
        <f>'Parameters | Agora'!$B$4*2.59532051350803E-06</f>
        <v>0.15428142324599836</v>
      </c>
      <c r="I30" s="123">
        <f>'Parameters | Agora'!$B$4*1.53580886793532E-06</f>
        <v>9.1297693963283036E-2</v>
      </c>
      <c r="J30" s="123">
        <f>'Parameters | Agora'!$B$4*2.24299408328451E-07</f>
        <v>1.3333702627493097E-2</v>
      </c>
      <c r="K30" s="123">
        <f>'Parameters | Agora'!$B$4*3.69700251034846E-07</f>
        <v>2.1977201123017452E-2</v>
      </c>
      <c r="L30" s="123">
        <f>'Parameters | Agora'!$B$4*7.28231373129231E-06</f>
        <v>0.43290442207040264</v>
      </c>
      <c r="M30" s="123">
        <f>'Parameters | Agora'!$B$4*0.000193445036895515</f>
        <v>11.499533663290785</v>
      </c>
      <c r="N30" s="123">
        <f>'Parameters | Agora'!$B$4*0</f>
        <v>0</v>
      </c>
      <c r="O30" s="123">
        <f>'Parameters | Agora'!$B$4*0.000120326761444841</f>
        <v>7.152944660850018</v>
      </c>
      <c r="P30" s="123">
        <f>'Parameters | Agora'!$B$4*0.000639497847812539</f>
        <v>38.01558906106419</v>
      </c>
      <c r="Q30" s="123">
        <f>'Parameters | Agora'!$B$4*0.00000332</f>
        <v>0.19736071999999999</v>
      </c>
      <c r="R30" s="123">
        <f>'Parameters | Agora'!$B$4*0.000000228</f>
        <v>1.3553688E-2</v>
      </c>
      <c r="S30" s="123">
        <f>'Parameters | Agora'!$B$4*0.000000010795</f>
        <v>6.4171957000000001E-4</v>
      </c>
      <c r="T30" s="123">
        <f>'Parameters | Agora'!$B$4*6.59268533143921E-07</f>
        <v>3.9190877221273533E-2</v>
      </c>
      <c r="U30" s="123">
        <f>'Parameters | Agora'!$B$4*3.87283700835072E-06</f>
        <v>0.23022466879841691</v>
      </c>
      <c r="V30" s="123">
        <f>'Parameters | Agora'!$B$4*3.87283700835072E-06</f>
        <v>0.23022466879841691</v>
      </c>
      <c r="W30" s="123">
        <f>'Parameters | Agora'!$B$4*3.88785344054027E-06</f>
        <v>0.23111733562635689</v>
      </c>
      <c r="X30" s="123">
        <f>'Parameters | Agora'!$B$4*0.000531</f>
        <v>31.565826000000001</v>
      </c>
      <c r="Y30" s="123">
        <f>'Parameters | Agora'!$B$4*0.000950250829239448</f>
        <v>56.488610794968224</v>
      </c>
      <c r="Z30" s="123">
        <f>'Parameters | Agora'!$B$4*0.000892896404188924</f>
        <v>53.079119643414778</v>
      </c>
      <c r="AA30" s="123">
        <f>'Parameters | Agora'!$B$4*0.000963147090493411</f>
        <v>57.255241941471311</v>
      </c>
      <c r="AB30" s="123">
        <f>'Parameters | Agora'!$B$4*0.00000091</f>
        <v>5.4095859999999996E-2</v>
      </c>
      <c r="AC30" s="123">
        <f>'Parameters | Agora'!$B$4*0.000186872859001955</f>
        <v>11.108843976230217</v>
      </c>
      <c r="AD30" s="123">
        <f>'Parameters | Agora'!$B$4*5.94376918706856E-07</f>
        <v>3.5333330309447762E-2</v>
      </c>
      <c r="AE30" s="123">
        <f>'Parameters | Agora'!$B$4*5.94376918706856E-07</f>
        <v>3.5333330309447762E-2</v>
      </c>
      <c r="AF30" s="123">
        <f>'Parameters | Agora'!$B$4*0.000281365323992451</f>
        <v>16.726043050055242</v>
      </c>
      <c r="AG30" s="123">
        <f>'Parameters | Agora'!$B$4*3.58851198214479E-07</f>
        <v>2.1332268329057918E-2</v>
      </c>
      <c r="AH30" s="123">
        <f>'Parameters | Agora'!$B$4*3.49813797555926E-06</f>
        <v>0.20795031009509576</v>
      </c>
      <c r="AI30" s="123">
        <f>-'Parameters | Agora'!$B$4*2.79633626861462E-09</f>
        <v>-1.662310058240647E-4</v>
      </c>
      <c r="AJ30" s="123">
        <f>'Parameters | Agora'!$B$4*1.86441708455962E-08</f>
        <v>1.1083213800873117E-3</v>
      </c>
    </row>
    <row r="31" spans="1:36">
      <c r="A31" s="120" t="s">
        <v>372</v>
      </c>
      <c r="B31" s="120" t="s">
        <v>373</v>
      </c>
      <c r="C31" s="120" t="s">
        <v>119</v>
      </c>
      <c r="D31" s="120" t="s">
        <v>325</v>
      </c>
      <c r="E31" s="120" t="s">
        <v>316</v>
      </c>
      <c r="F31" s="121">
        <v>2023</v>
      </c>
      <c r="G31" s="123">
        <f>'Parameters | Agora'!$B$4*0.0000896496815919087</f>
        <v>5.3293149719126038</v>
      </c>
      <c r="H31" s="123">
        <f>'Parameters | Agora'!$B$4*2.59532051350803E-06</f>
        <v>0.15428142324599836</v>
      </c>
      <c r="I31" s="123">
        <f>'Parameters | Agora'!$B$4*6.5117776769978E-07</f>
        <v>3.8709913578681122E-2</v>
      </c>
      <c r="J31" s="123">
        <f>'Parameters | Agora'!$B$4*2.24299408328451E-07</f>
        <v>1.3333702627493097E-2</v>
      </c>
      <c r="K31" s="123">
        <f>'Parameters | Agora'!$B$4*1.56751656546013E-07</f>
        <v>9.3182589750342888E-3</v>
      </c>
      <c r="L31" s="123">
        <f>'Parameters | Agora'!$B$4*7.28231373129231E-06</f>
        <v>0.43290442207040264</v>
      </c>
      <c r="M31" s="123">
        <f>'Parameters | Agora'!$B$4*0.00024157456050123</f>
        <v>14.360641323556118</v>
      </c>
      <c r="N31" s="123">
        <f>'Parameters | Agora'!$B$4*0.000186809683439279</f>
        <v>11.105088441731381</v>
      </c>
      <c r="O31" s="123">
        <f>'Parameters | Agora'!$B$4*0.00172638351099185</f>
        <v>102.62659419442151</v>
      </c>
      <c r="P31" s="123">
        <f>'Parameters | Agora'!$B$4*0.000980726482636909</f>
        <v>58.300266486833699</v>
      </c>
      <c r="Q31" s="123">
        <f>'Parameters | Agora'!$B$4*0.00000332</f>
        <v>0.19736071999999999</v>
      </c>
      <c r="R31" s="123">
        <f>'Parameters | Agora'!$B$4*0.000000228</f>
        <v>1.3553688E-2</v>
      </c>
      <c r="S31" s="123">
        <f>'Parameters | Agora'!$B$4*0.000000010795</f>
        <v>6.4171957000000001E-4</v>
      </c>
      <c r="T31" s="123">
        <f>'Parameters | Agora'!$B$4*9.62798298760297E-07</f>
        <v>5.7234507668104617E-2</v>
      </c>
      <c r="U31" s="123">
        <f>'Parameters | Agora'!$B$4*2.51103453744011E-06</f>
        <v>0.14927095911266478</v>
      </c>
      <c r="V31" s="123">
        <f>'Parameters | Agora'!$B$4*2.51103453744011E-06</f>
        <v>0.14927095911266478</v>
      </c>
      <c r="W31" s="123">
        <f>'Parameters | Agora'!$B$4*3.88785344054027E-06</f>
        <v>0.23111733562635689</v>
      </c>
      <c r="X31" s="123">
        <f>'Parameters | Agora'!$B$4*0.000531</f>
        <v>31.565826000000001</v>
      </c>
      <c r="Y31" s="123">
        <f>'Parameters | Agora'!$B$4*0.000716904251888668</f>
        <v>42.61709015777376</v>
      </c>
      <c r="Z31" s="123">
        <f>'Parameters | Agora'!$B$4*0.000631097179268789</f>
        <v>37.516202918812432</v>
      </c>
      <c r="AA31" s="123">
        <f>'Parameters | Agora'!$B$4*0.000752657198813618</f>
        <v>44.742459840674336</v>
      </c>
      <c r="AB31" s="123">
        <f>'Parameters | Agora'!$B$4*0.00000091</f>
        <v>5.4095859999999996E-2</v>
      </c>
      <c r="AC31" s="123">
        <f>'Parameters | Agora'!$B$4*0.0000792334604319355</f>
        <v>4.7101122888368376</v>
      </c>
      <c r="AD31" s="123">
        <f>'Parameters | Agora'!$B$4*7.07509104388056E-07</f>
        <v>4.2058586219452375E-2</v>
      </c>
      <c r="AE31" s="123">
        <f>'Parameters | Agora'!$B$4*7.07509104388056E-07</f>
        <v>4.2058586219452375E-2</v>
      </c>
      <c r="AF31" s="123">
        <f>'Parameters | Agora'!$B$4*0.000281365323992451</f>
        <v>16.726043050055242</v>
      </c>
      <c r="AG31" s="123">
        <f>'Parameters | Agora'!$B$4*7.87211935820998E-07</f>
        <v>4.6796600736815047E-2</v>
      </c>
      <c r="AH31" s="123">
        <f>'Parameters | Agora'!$B$4*0.0000016982730468427</f>
        <v>0.10095553954261113</v>
      </c>
      <c r="AI31" s="123">
        <f>'Parameters | Agora'!$B$4*2.06509593697772E-08</f>
        <v>1.2276169306957754E-3</v>
      </c>
      <c r="AJ31" s="123">
        <f>'Parameters | Agora'!$B$4*4.89859540663618E-09</f>
        <v>2.9120190254289436E-4</v>
      </c>
    </row>
    <row r="32" spans="1:36">
      <c r="A32" s="120" t="s">
        <v>374</v>
      </c>
      <c r="B32" s="120" t="s">
        <v>375</v>
      </c>
      <c r="C32" s="120" t="s">
        <v>114</v>
      </c>
      <c r="D32" s="120" t="s">
        <v>325</v>
      </c>
      <c r="E32" s="120" t="s">
        <v>316</v>
      </c>
      <c r="F32" s="121">
        <v>2023</v>
      </c>
      <c r="G32" s="123">
        <f>'Parameters | Agora'!$B$4*0.000115709052560769</f>
        <v>6.8784403385274739</v>
      </c>
      <c r="H32" s="123">
        <f>'Parameters | Agora'!$B$4*2.59532051350803E-06</f>
        <v>0.15428142324599836</v>
      </c>
      <c r="I32" s="123">
        <f>'Parameters | Agora'!$B$4*8.40462132282446E-07</f>
        <v>4.9962111915662286E-2</v>
      </c>
      <c r="J32" s="123">
        <f>'Parameters | Agora'!$B$4*8.62473484142803E-08</f>
        <v>5.1270598738353068E-3</v>
      </c>
      <c r="K32" s="123">
        <f>'Parameters | Agora'!$B$4*2.02316230735027E-07</f>
        <v>1.2026890652274415E-2</v>
      </c>
      <c r="L32" s="123">
        <f>'Parameters | Agora'!$B$4*7.28231373129231E-06</f>
        <v>0.43290442207040264</v>
      </c>
      <c r="M32" s="123">
        <f>'Parameters | Agora'!$B$4*0.0000950067746352341</f>
        <v>5.647772724966126</v>
      </c>
      <c r="N32" s="123">
        <f>'Parameters | Agora'!$B$4*0.000206631808570107</f>
        <v>12.283434492258582</v>
      </c>
      <c r="O32" s="123">
        <f>'Parameters | Agora'!$B$4*3.94318577461337E-07</f>
        <v>2.344066215576664E-2</v>
      </c>
      <c r="P32" s="123">
        <f>'Parameters | Agora'!$B$4*0.0000010102488401683</f>
        <v>6.005525255264476E-2</v>
      </c>
      <c r="Q32" s="123">
        <f>'Parameters | Agora'!$B$4*0.00000332</f>
        <v>0.19736071999999999</v>
      </c>
      <c r="R32" s="123">
        <f>'Parameters | Agora'!$B$4*0.000000228</f>
        <v>1.3553688E-2</v>
      </c>
      <c r="S32" s="123">
        <f>'Parameters | Agora'!$B$4*0.000000010795</f>
        <v>6.4171957000000001E-4</v>
      </c>
      <c r="T32" s="123">
        <f>'Parameters | Agora'!$B$4*0.000001775767648131</f>
        <v>0.10556228361079542</v>
      </c>
      <c r="U32" s="123">
        <f>'Parameters | Agora'!$B$4*2.96535950925452E-06</f>
        <v>0.17627876138714418</v>
      </c>
      <c r="V32" s="123">
        <f>'Parameters | Agora'!$B$4*2.96535950925452E-06</f>
        <v>0.17627876138714418</v>
      </c>
      <c r="W32" s="123">
        <f>'Parameters | Agora'!$B$4*3.88785344054027E-06</f>
        <v>0.23111733562635689</v>
      </c>
      <c r="X32" s="123">
        <f>'Parameters | Agora'!$B$4*0.000531</f>
        <v>31.565826000000001</v>
      </c>
      <c r="Y32" s="123">
        <f>'Parameters | Agora'!$B$4*0.000773416609224837</f>
        <v>45.976523751979663</v>
      </c>
      <c r="Z32" s="123">
        <f>'Parameters | Agora'!$B$4*0.000757339971842073</f>
        <v>45.020831966123872</v>
      </c>
      <c r="AA32" s="123">
        <f>'Parameters | Agora'!$B$4*0.000797314313442458</f>
        <v>47.397146676900356</v>
      </c>
      <c r="AB32" s="123">
        <f>'Parameters | Agora'!$B$4*0.00000091</f>
        <v>5.4095859999999996E-2</v>
      </c>
      <c r="AC32" s="123">
        <f>'Parameters | Agora'!$B$4*0.000102265044056976</f>
        <v>6.0792478090109956</v>
      </c>
      <c r="AD32" s="123">
        <f>'Parameters | Agora'!$B$4*1.40291410902934E-06</f>
        <v>8.339763212535814E-2</v>
      </c>
      <c r="AE32" s="123">
        <f>'Parameters | Agora'!$B$4*1.40291410902934E-06</f>
        <v>8.339763212535814E-2</v>
      </c>
      <c r="AF32" s="123">
        <f>'Parameters | Agora'!$B$4*0.000281365323992451</f>
        <v>16.726043050055242</v>
      </c>
      <c r="AG32" s="123">
        <f>'Parameters | Agora'!$B$4*1.24529912744098E-06</f>
        <v>7.4028051929856495E-2</v>
      </c>
      <c r="AH32" s="123">
        <f>'Parameters | Agora'!$B$4*0.000001583605888305</f>
        <v>9.4139035636179036E-2</v>
      </c>
      <c r="AI32" s="123">
        <f>'Parameters | Agora'!$B$4*1.25117890169592E-07</f>
        <v>7.4377580990215662E-3</v>
      </c>
      <c r="AJ32" s="123">
        <f>'Parameters | Agora'!$B$4*1.13366033389499E-08</f>
        <v>6.7391572208721573E-4</v>
      </c>
    </row>
    <row r="33" spans="1:36">
      <c r="A33" s="120" t="s">
        <v>376</v>
      </c>
      <c r="B33" s="120" t="s">
        <v>377</v>
      </c>
      <c r="C33" s="120" t="s">
        <v>119</v>
      </c>
      <c r="D33" s="120" t="s">
        <v>325</v>
      </c>
      <c r="E33" s="120" t="s">
        <v>316</v>
      </c>
      <c r="F33" s="121">
        <v>2023</v>
      </c>
      <c r="G33" s="123">
        <f>'Parameters | Agora'!$B$4*0.0000823101135789493</f>
        <v>4.8930070118142197</v>
      </c>
      <c r="H33" s="123">
        <f>'Parameters | Agora'!$B$4*2.59532051350803E-06</f>
        <v>0.15428142324599836</v>
      </c>
      <c r="I33" s="123">
        <f>'Parameters | Agora'!$B$4*5.97866217344079E-07</f>
        <v>3.5540755156236115E-2</v>
      </c>
      <c r="J33" s="123">
        <f>'Parameters | Agora'!$B$4*2.24299408328451E-07</f>
        <v>1.3333702627493097E-2</v>
      </c>
      <c r="K33" s="123">
        <f>'Parameters | Agora'!$B$4*1.43918488330195E-07</f>
        <v>8.5553784572767709E-3</v>
      </c>
      <c r="L33" s="123">
        <f>'Parameters | Agora'!$B$4*7.28231373129231E-06</f>
        <v>0.43290442207040264</v>
      </c>
      <c r="M33" s="123">
        <f>'Parameters | Agora'!$B$4*0.000429778660571775</f>
        <v>25.548622256349734</v>
      </c>
      <c r="N33" s="123">
        <f>'Parameters | Agora'!$B$4*0.000197391855070881</f>
        <v>11.734156216543592</v>
      </c>
      <c r="O33" s="123">
        <f>'Parameters | Agora'!$B$4*0.0177355345589443</f>
        <v>1054.3065873910029</v>
      </c>
      <c r="P33" s="123">
        <f>'Parameters | Agora'!$B$4*0.00789317422083451</f>
        <v>469.21763473172825</v>
      </c>
      <c r="Q33" s="123">
        <f>'Parameters | Agora'!$B$4*0.00000332</f>
        <v>0.19736071999999999</v>
      </c>
      <c r="R33" s="123">
        <f>'Parameters | Agora'!$B$4*0.000000228</f>
        <v>1.3553688E-2</v>
      </c>
      <c r="S33" s="123">
        <f>'Parameters | Agora'!$B$4*0.000000010795</f>
        <v>6.4171957000000001E-4</v>
      </c>
      <c r="T33" s="123">
        <f>'Parameters | Agora'!$B$4*1.13246534969997E-06</f>
        <v>6.7320535178264418E-2</v>
      </c>
      <c r="U33" s="123">
        <f>'Parameters | Agora'!$B$4*2.71100904557102E-06</f>
        <v>0.16115864372301486</v>
      </c>
      <c r="V33" s="123">
        <f>'Parameters | Agora'!$B$4*2.71100904557102E-06</f>
        <v>0.16115864372301486</v>
      </c>
      <c r="W33" s="123">
        <f>'Parameters | Agora'!$B$4*3.88785344054027E-06</f>
        <v>0.23111733562635689</v>
      </c>
      <c r="X33" s="123">
        <f>'Parameters | Agora'!$B$4*0.000531</f>
        <v>31.565826000000001</v>
      </c>
      <c r="Y33" s="123">
        <f>'Parameters | Agora'!$B$4*0.00153240108128204</f>
        <v>91.095114677892155</v>
      </c>
      <c r="Z33" s="123">
        <f>'Parameters | Agora'!$B$4*0.00144921592412889</f>
        <v>86.150089825765988</v>
      </c>
      <c r="AA33" s="123">
        <f>'Parameters | Agora'!$B$4*0.00167539256057145</f>
        <v>99.595386155730424</v>
      </c>
      <c r="AB33" s="123">
        <f>'Parameters | Agora'!$B$4*0.00000091</f>
        <v>5.4095859999999996E-2</v>
      </c>
      <c r="AC33" s="123">
        <f>'Parameters | Agora'!$B$4*0.0000727466624710736</f>
        <v>4.3244980972554412</v>
      </c>
      <c r="AD33" s="123">
        <f>'Parameters | Agora'!$B$4*2.40799978470223E-07</f>
        <v>1.4314595520140876E-2</v>
      </c>
      <c r="AE33" s="123">
        <f>'Parameters | Agora'!$B$4*2.40799978470223E-07</f>
        <v>1.4314595520140876E-2</v>
      </c>
      <c r="AF33" s="123">
        <f>'Parameters | Agora'!$B$4*0.000281365323992451</f>
        <v>16.726043050055242</v>
      </c>
      <c r="AG33" s="123">
        <f>'Parameters | Agora'!$B$4*9.75230935345559E-07</f>
        <v>5.7973578182552103E-2</v>
      </c>
      <c r="AH33" s="123">
        <f>'Parameters | Agora'!$B$4*1.71804080650475E-06</f>
        <v>0.10213065378348136</v>
      </c>
      <c r="AI33" s="123">
        <f>'Parameters | Agora'!$B$4*1.07759810200502E-08</f>
        <v>6.4058896771790417E-4</v>
      </c>
      <c r="AJ33" s="123">
        <f>'Parameters | Agora'!$B$4*6.96132270065992E-09</f>
        <v>4.1382278926342962E-4</v>
      </c>
    </row>
    <row r="34" spans="1:36">
      <c r="A34" s="120" t="s">
        <v>378</v>
      </c>
      <c r="B34" s="120" t="s">
        <v>379</v>
      </c>
      <c r="C34" s="120" t="s">
        <v>120</v>
      </c>
      <c r="D34" s="120" t="s">
        <v>121</v>
      </c>
      <c r="E34" s="120" t="s">
        <v>316</v>
      </c>
      <c r="F34" s="121">
        <v>2023</v>
      </c>
      <c r="G34" s="123">
        <f>'Parameters | Agora'!$B$4*6.01135983363244E-06</f>
        <v>0.357351296670114</v>
      </c>
      <c r="H34" s="123">
        <f>'Parameters | Agora'!$B$4*2.59532051350803E-06</f>
        <v>0.15428142324599836</v>
      </c>
      <c r="I34" s="123">
        <f>'Parameters | Agora'!$B$4*1.69638934500678E-06</f>
        <v>0.10084356100327305</v>
      </c>
      <c r="J34" s="123">
        <f>'Parameters | Agora'!$B$4*1.396999846752E-08</f>
        <v>8.3046052890019392E-4</v>
      </c>
      <c r="K34" s="123">
        <f>'Parameters | Agora'!$B$4*4.08355219061189E-07</f>
        <v>2.4275084352311439E-2</v>
      </c>
      <c r="L34" s="123">
        <f>'Parameters | Agora'!$B$4*7.28231373129231E-06</f>
        <v>0.43290442207040264</v>
      </c>
      <c r="M34" s="123">
        <f>'Parameters | Agora'!$B$4*0.0000935838345727163</f>
        <v>5.563184630009693</v>
      </c>
      <c r="N34" s="123">
        <f>'Parameters | Agora'!$B$4*0.0000172460637238305</f>
        <v>1.0252095041268279</v>
      </c>
      <c r="O34" s="123">
        <f>'Parameters | Agora'!$B$4*5.05678778634691E-06</f>
        <v>0.30060580674717841</v>
      </c>
      <c r="P34" s="123">
        <f>'Parameters | Agora'!$B$4*9.72587279733216E-07</f>
        <v>5.7816423431020759E-2</v>
      </c>
      <c r="Q34" s="123">
        <f>'Parameters | Agora'!$B$4*0.00000332</f>
        <v>0.19736071999999999</v>
      </c>
      <c r="R34" s="123">
        <f>'Parameters | Agora'!$B$4*0.000000228</f>
        <v>1.3553688E-2</v>
      </c>
      <c r="S34" s="123">
        <f>'Parameters | Agora'!$B$4*0.000000010795</f>
        <v>6.4171957000000001E-4</v>
      </c>
      <c r="T34" s="123">
        <f>'Parameters | Agora'!$B$4*1.40028674705383E-06</f>
        <v>8.3241445965361982E-2</v>
      </c>
      <c r="U34" s="123">
        <f>'Parameters | Agora'!$B$4*9.79794567998914E-07</f>
        <v>5.8244867889263439E-2</v>
      </c>
      <c r="V34" s="123">
        <f>'Parameters | Agora'!$B$4*9.79794567998914E-07</f>
        <v>5.8244867889263439E-2</v>
      </c>
      <c r="W34" s="123">
        <f>'Parameters | Agora'!$B$4*3.88785344054027E-06</f>
        <v>0.23111733562635689</v>
      </c>
      <c r="X34" s="123">
        <f>'Parameters | Agora'!$B$4*0.000531</f>
        <v>31.565826000000001</v>
      </c>
      <c r="Y34" s="123">
        <f>'Parameters | Agora'!$B$4*0.000256048815591994</f>
        <v>15.221077891681675</v>
      </c>
      <c r="Z34" s="123">
        <f>'Parameters | Agora'!$B$4*0.000208365233345598</f>
        <v>12.386479661462419</v>
      </c>
      <c r="AA34" s="123">
        <f>'Parameters | Agora'!$B$4*0.000268470589118367</f>
        <v>15.959502640730443</v>
      </c>
      <c r="AB34" s="123">
        <f>'Parameters | Agora'!$B$4*0.00000091</f>
        <v>5.4095859999999996E-2</v>
      </c>
      <c r="AC34" s="123">
        <f>'Parameters | Agora'!$B$4*5.31291169207265E-06</f>
        <v>0.31583134844695077</v>
      </c>
      <c r="AD34" s="123">
        <f>'Parameters | Agora'!$B$4*5.75767132632057E-06</f>
        <v>0.34227052966445259</v>
      </c>
      <c r="AE34" s="123">
        <f>'Parameters | Agora'!$B$4*5.75767132632057E-06</f>
        <v>0.34227052966445259</v>
      </c>
      <c r="AF34" s="123">
        <f>'Parameters | Agora'!$B$4*0.000281365323992451</f>
        <v>16.726043050055242</v>
      </c>
      <c r="AG34" s="123">
        <f>'Parameters | Agora'!$B$4*9.40980467913456E-07</f>
        <v>5.5937524895583311E-2</v>
      </c>
      <c r="AH34" s="123">
        <f>'Parameters | Agora'!$B$4*2.92953344514039E-14</f>
        <v>1.7414904517981561E-9</v>
      </c>
      <c r="AI34" s="123">
        <f>'Parameters | Agora'!$B$4*3.4004063911755E-08</f>
        <v>2.021405583298188E-3</v>
      </c>
      <c r="AJ34" s="123">
        <f>'Parameters | Agora'!$B$4*4.81000687836828E-09</f>
        <v>2.859356688914808E-4</v>
      </c>
    </row>
    <row r="35" spans="1:36">
      <c r="A35" s="120" t="s">
        <v>380</v>
      </c>
      <c r="B35" s="120" t="s">
        <v>381</v>
      </c>
      <c r="C35" s="120" t="s">
        <v>119</v>
      </c>
      <c r="D35" s="120" t="s">
        <v>319</v>
      </c>
      <c r="E35" s="120" t="s">
        <v>316</v>
      </c>
      <c r="F35" s="121">
        <v>2023</v>
      </c>
      <c r="G35" s="123">
        <f>'Parameters | Agora'!$B$4*0.000167470657789925</f>
        <v>9.9554607229798826</v>
      </c>
      <c r="H35" s="123">
        <f>'Parameters | Agora'!$B$4*2.59532051350803E-06</f>
        <v>0.15428142324599836</v>
      </c>
      <c r="I35" s="123">
        <f>'Parameters | Agora'!$B$4*1.21643676986244E-06</f>
        <v>7.2312300221242604E-2</v>
      </c>
      <c r="J35" s="123">
        <f>'Parameters | Agora'!$B$4*2.24299408328451E-07</f>
        <v>1.3333702627493097E-2</v>
      </c>
      <c r="K35" s="123">
        <f>'Parameters | Agora'!$B$4*2.92820928811761E-07</f>
        <v>1.7407032934143942E-2</v>
      </c>
      <c r="L35" s="123">
        <f>'Parameters | Agora'!$B$4*7.28231373129231E-06</f>
        <v>0.43290442207040264</v>
      </c>
      <c r="M35" s="123">
        <f>'Parameters | Agora'!$B$4*0.000700391682922717</f>
        <v>41.635483983023839</v>
      </c>
      <c r="N35" s="123">
        <f>'Parameters | Agora'!$B$4*0.000169247426968117</f>
        <v>10.061082543546684</v>
      </c>
      <c r="O35" s="123">
        <f>'Parameters | Agora'!$B$4*0</f>
        <v>0</v>
      </c>
      <c r="P35" s="123">
        <f>'Parameters | Agora'!$B$4*9.30528446565795E-06</f>
        <v>0.55316194034550248</v>
      </c>
      <c r="Q35" s="123">
        <f>'Parameters | Agora'!$B$4*0.00000332</f>
        <v>0.19736071999999999</v>
      </c>
      <c r="R35" s="123">
        <f>'Parameters | Agora'!$B$4*0.000000228</f>
        <v>1.3553688E-2</v>
      </c>
      <c r="S35" s="123">
        <f>'Parameters | Agora'!$B$4*0.000000010795</f>
        <v>6.4171957000000001E-4</v>
      </c>
      <c r="T35" s="123">
        <f>'Parameters | Agora'!$B$4*2.14178040914283E-06</f>
        <v>0.12732027820190467</v>
      </c>
      <c r="U35" s="123">
        <f>'Parameters | Agora'!$B$4*3.59420237208261E-06</f>
        <v>0.21366095421082282</v>
      </c>
      <c r="V35" s="123">
        <f>'Parameters | Agora'!$B$4*3.59420237208261E-06</f>
        <v>0.21366095421082282</v>
      </c>
      <c r="W35" s="123">
        <f>'Parameters | Agora'!$B$4*3.88785344054027E-06</f>
        <v>0.23111733562635689</v>
      </c>
      <c r="X35" s="123">
        <f>'Parameters | Agora'!$B$4*0.000531</f>
        <v>31.565826000000001</v>
      </c>
      <c r="Y35" s="123">
        <f>'Parameters | Agora'!$B$4*0.00149510454702862</f>
        <v>88.877984902663343</v>
      </c>
      <c r="Z35" s="123">
        <f>'Parameters | Agora'!$B$4*0.00139946182968194</f>
        <v>83.192407927272598</v>
      </c>
      <c r="AA35" s="123">
        <f>'Parameters | Agora'!$B$4*0.00176829092933495</f>
        <v>105.11782258524543</v>
      </c>
      <c r="AB35" s="123">
        <f>'Parameters | Agora'!$B$4*0.00000091</f>
        <v>5.4095859999999996E-2</v>
      </c>
      <c r="AC35" s="123">
        <f>'Parameters | Agora'!$B$4*0.000148012569614144</f>
        <v>8.798755213282405</v>
      </c>
      <c r="AD35" s="123">
        <f>'Parameters | Agora'!$B$4*1.78731823461896E-07</f>
        <v>1.0624891977515869E-2</v>
      </c>
      <c r="AE35" s="123">
        <f>'Parameters | Agora'!$B$4*1.78731823461896E-07</f>
        <v>1.0624891977515869E-2</v>
      </c>
      <c r="AF35" s="123">
        <f>'Parameters | Agora'!$B$4*0.000281365323992451</f>
        <v>16.726043050055242</v>
      </c>
      <c r="AG35" s="123">
        <f>'Parameters | Agora'!$B$4*1.88682895060565E-06</f>
        <v>0.11216443379770347</v>
      </c>
      <c r="AH35" s="123">
        <f>'Parameters | Agora'!$B$4*1.68858328591245E-06</f>
        <v>0.1003795220143515</v>
      </c>
      <c r="AI35" s="123">
        <f>'Parameters | Agora'!$B$4*6.61367697777189E-09</f>
        <v>3.931566416206278E-4</v>
      </c>
      <c r="AJ35" s="123">
        <f>'Parameters | Agora'!$B$4*1.21764585867368E-08</f>
        <v>7.2384175714715587E-4</v>
      </c>
    </row>
    <row r="36" spans="1:36">
      <c r="A36" s="120" t="s">
        <v>382</v>
      </c>
      <c r="B36" s="120" t="s">
        <v>383</v>
      </c>
      <c r="C36" s="120" t="s">
        <v>119</v>
      </c>
      <c r="D36" s="120" t="s">
        <v>319</v>
      </c>
      <c r="E36" s="120" t="s">
        <v>316</v>
      </c>
      <c r="F36" s="121">
        <v>2023</v>
      </c>
      <c r="G36" s="123">
        <f>'Parameters | Agora'!$B$4*0.000170286177706226</f>
        <v>10.122832119924311</v>
      </c>
      <c r="H36" s="123">
        <f>'Parameters | Agora'!$B$4*2.59532051350803E-06</f>
        <v>0.15428142324599836</v>
      </c>
      <c r="I36" s="123">
        <f>'Parameters | Agora'!$B$4*0.0000012368875282082</f>
        <v>7.3528016001864663E-2</v>
      </c>
      <c r="J36" s="123">
        <f>'Parameters | Agora'!$B$4*2.24299408328451E-07</f>
        <v>1.3333702627493097E-2</v>
      </c>
      <c r="K36" s="123">
        <f>'Parameters | Agora'!$B$4*2.97743839892778E-07</f>
        <v>1.7699680306266081E-2</v>
      </c>
      <c r="L36" s="123">
        <f>'Parameters | Agora'!$B$4*7.28231373129231E-06</f>
        <v>0.43290442207040264</v>
      </c>
      <c r="M36" s="123">
        <f>'Parameters | Agora'!$B$4*0.0000877392085312633</f>
        <v>5.2157449903494779</v>
      </c>
      <c r="N36" s="123">
        <f>'Parameters | Agora'!$B$4*0.0000068721503720717</f>
        <v>0.40852185101817423</v>
      </c>
      <c r="O36" s="123">
        <f>'Parameters | Agora'!$B$4*0.000178085492973674</f>
        <v>10.586470215313025</v>
      </c>
      <c r="P36" s="123">
        <f>'Parameters | Agora'!$B$4*0.0000195108696044972</f>
        <v>1.1598431545089407</v>
      </c>
      <c r="Q36" s="123">
        <f>'Parameters | Agora'!$B$4*0.00000332</f>
        <v>0.19736071999999999</v>
      </c>
      <c r="R36" s="123">
        <f>'Parameters | Agora'!$B$4*0.000000228</f>
        <v>1.3553688E-2</v>
      </c>
      <c r="S36" s="123">
        <f>'Parameters | Agora'!$B$4*0.000000010795</f>
        <v>6.4171957000000001E-4</v>
      </c>
      <c r="T36" s="123">
        <f>'Parameters | Agora'!$B$4*7.02525306649361E-07</f>
        <v>4.1762319379077914E-2</v>
      </c>
      <c r="U36" s="123">
        <f>'Parameters | Agora'!$B$4*5.75607110736655E-07</f>
        <v>3.4217540304851198E-2</v>
      </c>
      <c r="V36" s="123">
        <f>'Parameters | Agora'!$B$4*5.75607110736655E-07</f>
        <v>3.4217540304851198E-2</v>
      </c>
      <c r="W36" s="123">
        <f>'Parameters | Agora'!$B$4*3.88785344054027E-06</f>
        <v>0.23111733562635689</v>
      </c>
      <c r="X36" s="123">
        <f>'Parameters | Agora'!$B$4*0.000531</f>
        <v>31.565826000000001</v>
      </c>
      <c r="Y36" s="123">
        <f>'Parameters | Agora'!$B$4*0.00201482364390787</f>
        <v>119.77320633574723</v>
      </c>
      <c r="Z36" s="123">
        <f>'Parameters | Agora'!$B$4*0.00189682303681631</f>
        <v>112.75854224658237</v>
      </c>
      <c r="AA36" s="123">
        <f>'Parameters | Agora'!$B$4*0.00264448663444628</f>
        <v>157.20415247129355</v>
      </c>
      <c r="AB36" s="123">
        <f>'Parameters | Agora'!$B$4*0.00000091</f>
        <v>5.4095859999999996E-2</v>
      </c>
      <c r="AC36" s="123">
        <f>'Parameters | Agora'!$B$4*0.000150500959778195</f>
        <v>8.9466800549745784</v>
      </c>
      <c r="AD36" s="123">
        <f>'Parameters | Agora'!$B$4*1.69014947897818E-06</f>
        <v>0.10047262592733688</v>
      </c>
      <c r="AE36" s="123">
        <f>'Parameters | Agora'!$B$4*1.69014947897818E-06</f>
        <v>0.10047262592733688</v>
      </c>
      <c r="AF36" s="123">
        <f>'Parameters | Agora'!$B$4*0.000281365323992451</f>
        <v>16.726043050055242</v>
      </c>
      <c r="AG36" s="123">
        <f>'Parameters | Agora'!$B$4*4.89602410890989E-07</f>
        <v>2.9104904917825729E-2</v>
      </c>
      <c r="AH36" s="123">
        <f>'Parameters | Agora'!$B$4*8.57855355777321E-08</f>
        <v>5.0996069479538626E-3</v>
      </c>
      <c r="AI36" s="123">
        <f>-'Parameters | Agora'!$B$4*1.44908293957187E-09</f>
        <v>-8.6142184425789381E-5</v>
      </c>
      <c r="AJ36" s="123">
        <f>'Parameters | Agora'!$B$4*1.66824720750544E-09</f>
        <v>9.9170623497368387E-5</v>
      </c>
    </row>
    <row r="37" spans="1:36">
      <c r="A37" s="120" t="s">
        <v>384</v>
      </c>
      <c r="B37" s="120" t="s">
        <v>385</v>
      </c>
      <c r="C37" s="120" t="s">
        <v>116</v>
      </c>
      <c r="D37" s="120" t="s">
        <v>121</v>
      </c>
      <c r="E37" s="120" t="s">
        <v>316</v>
      </c>
      <c r="F37" s="121">
        <v>2023</v>
      </c>
      <c r="G37" s="123">
        <f>'Parameters | Agora'!$B$4*0.0000348204398053032</f>
        <v>2.0699358646660539</v>
      </c>
      <c r="H37" s="123">
        <f>'Parameters | Agora'!$B$4*2.59532051350803E-06</f>
        <v>0.15428142324599836</v>
      </c>
      <c r="I37" s="123">
        <f>'Parameters | Agora'!$B$4*1.12974967777794E-06</f>
        <v>6.715909934518742E-2</v>
      </c>
      <c r="J37" s="123">
        <f>'Parameters | Agora'!$B$4*8.63343994036925E-08</f>
        <v>5.1322347069519044E-3</v>
      </c>
      <c r="K37" s="123">
        <f>'Parameters | Agora'!$B$4*2.71953592794745E-07</f>
        <v>1.6166553277276414E-2</v>
      </c>
      <c r="L37" s="123">
        <f>'Parameters | Agora'!$B$4*7.28231373129231E-06</f>
        <v>0.43290442207040264</v>
      </c>
      <c r="M37" s="123">
        <f>'Parameters | Agora'!$B$4*0.0000918692120200158</f>
        <v>5.4612571777418593</v>
      </c>
      <c r="N37" s="123">
        <f>'Parameters | Agora'!$B$4*0.0000687320806038786</f>
        <v>4.0858472635781675</v>
      </c>
      <c r="O37" s="123">
        <f>'Parameters | Agora'!$B$4*0.0000398278930852342</f>
        <v>2.3676089323448322</v>
      </c>
      <c r="P37" s="123">
        <f>'Parameters | Agora'!$B$4*0.0000450118600020438</f>
        <v>2.6757750296814957</v>
      </c>
      <c r="Q37" s="123">
        <f>'Parameters | Agora'!$B$4*0.00000332</f>
        <v>0.19736071999999999</v>
      </c>
      <c r="R37" s="123">
        <f>'Parameters | Agora'!$B$4*0.000000228</f>
        <v>1.3553688E-2</v>
      </c>
      <c r="S37" s="123">
        <f>'Parameters | Agora'!$B$4*0.000000010795</f>
        <v>6.4171957000000001E-4</v>
      </c>
      <c r="T37" s="123">
        <f>'Parameters | Agora'!$B$4*1.60340309082869E-06</f>
        <v>9.5315900137402307E-2</v>
      </c>
      <c r="U37" s="123">
        <f>'Parameters | Agora'!$B$4*1.75646132027387E-06</f>
        <v>0.10441459964500048</v>
      </c>
      <c r="V37" s="123">
        <f>'Parameters | Agora'!$B$4*1.75646132027387E-06</f>
        <v>0.10441459964500048</v>
      </c>
      <c r="W37" s="123">
        <f>'Parameters | Agora'!$B$4*3.88785344054027E-06</f>
        <v>0.23111733562635689</v>
      </c>
      <c r="X37" s="123">
        <f>'Parameters | Agora'!$B$4*0.000531</f>
        <v>31.565826000000001</v>
      </c>
      <c r="Y37" s="123">
        <f>'Parameters | Agora'!$B$4*0.000399721551889972</f>
        <v>23.761847373651275</v>
      </c>
      <c r="Z37" s="123">
        <f>'Parameters | Agora'!$B$4*0.000367142977382591</f>
        <v>21.825181433485504</v>
      </c>
      <c r="AA37" s="123">
        <f>'Parameters | Agora'!$B$4*0.000432300126397354</f>
        <v>25.698513313817106</v>
      </c>
      <c r="AB37" s="123">
        <f>'Parameters | Agora'!$B$4*0.00000091</f>
        <v>5.4095859999999996E-2</v>
      </c>
      <c r="AC37" s="123">
        <f>'Parameters | Agora'!$B$4*0.0000307747210089934</f>
        <v>1.8294340651006218</v>
      </c>
      <c r="AD37" s="123">
        <f>'Parameters | Agora'!$B$4*3.82898176536726E-06</f>
        <v>0.22761765002402212</v>
      </c>
      <c r="AE37" s="123">
        <f>'Parameters | Agora'!$B$4*3.82898176536726E-06</f>
        <v>0.22761765002402212</v>
      </c>
      <c r="AF37" s="123">
        <f>'Parameters | Agora'!$B$4*0.000281365323992451</f>
        <v>16.726043050055242</v>
      </c>
      <c r="AG37" s="123">
        <f>'Parameters | Agora'!$B$4*8.62325941073029E-07</f>
        <v>5.126182789302728E-2</v>
      </c>
      <c r="AH37" s="123">
        <f>'Parameters | Agora'!$B$4*7.98491044188991E-07</f>
        <v>4.7467098612858763E-2</v>
      </c>
      <c r="AI37" s="123">
        <f>'Parameters | Agora'!$B$4*8.70575849685736E-08</f>
        <v>5.1752251960418263E-3</v>
      </c>
      <c r="AJ37" s="123">
        <f>'Parameters | Agora'!$B$4*8.5867500432767E-09</f>
        <v>5.1044794307262675E-4</v>
      </c>
    </row>
    <row r="38" spans="1:36">
      <c r="A38" s="120" t="s">
        <v>386</v>
      </c>
      <c r="B38" s="120" t="s">
        <v>387</v>
      </c>
      <c r="C38" s="120" t="s">
        <v>114</v>
      </c>
      <c r="D38" s="120" t="s">
        <v>322</v>
      </c>
      <c r="E38" s="120" t="s">
        <v>316</v>
      </c>
      <c r="F38" s="121">
        <v>2023</v>
      </c>
      <c r="G38" s="123">
        <f>'Parameters | Agora'!$B$4*0.0000578073896477986</f>
        <v>3.4364180850030359</v>
      </c>
      <c r="H38" s="123">
        <f>'Parameters | Agora'!$B$4*2.59532051350803E-06</f>
        <v>0.15428142324599836</v>
      </c>
      <c r="I38" s="123">
        <f>'Parameters | Agora'!$B$4*1.78381100999848E-07</f>
        <v>1.0604042930036963E-2</v>
      </c>
      <c r="J38" s="123">
        <f>'Parameters | Agora'!$B$4*8.62473484142803E-08</f>
        <v>5.1270598738353068E-3</v>
      </c>
      <c r="K38" s="123">
        <f>'Parameters | Agora'!$B$4*4.29399381631212E-08</f>
        <v>2.5526075640449029E-3</v>
      </c>
      <c r="L38" s="123">
        <f>'Parameters | Agora'!$B$4*7.28231373129231E-06</f>
        <v>0.43290442207040264</v>
      </c>
      <c r="M38" s="123">
        <f>'Parameters | Agora'!$B$4*0.0000105568430745925</f>
        <v>0.62756209341222569</v>
      </c>
      <c r="N38" s="123">
        <f>'Parameters | Agora'!$B$4*8.24092021698569E-06</f>
        <v>0.48988974321893131</v>
      </c>
      <c r="O38" s="123">
        <f>'Parameters | Agora'!$B$4*0.0000443945459483459</f>
        <v>2.6390781784453705</v>
      </c>
      <c r="P38" s="123">
        <f>'Parameters | Agora'!$B$4*0.000111544765849993</f>
        <v>6.6308901507186837</v>
      </c>
      <c r="Q38" s="123">
        <f>'Parameters | Agora'!$B$4*0.00000332</f>
        <v>0.19736071999999999</v>
      </c>
      <c r="R38" s="123">
        <f>'Parameters | Agora'!$B$4*0.000000228</f>
        <v>1.3553688E-2</v>
      </c>
      <c r="S38" s="123">
        <f>'Parameters | Agora'!$B$4*0.000000010795</f>
        <v>6.4171957000000001E-4</v>
      </c>
      <c r="T38" s="123">
        <f>'Parameters | Agora'!$B$4*2.4052174817098E-07</f>
        <v>1.4298055841772076E-2</v>
      </c>
      <c r="U38" s="123">
        <f>'Parameters | Agora'!$B$4*2.3580224381464E-07</f>
        <v>1.4017500185805089E-2</v>
      </c>
      <c r="V38" s="123">
        <f>'Parameters | Agora'!$B$4*2.3580224381464E-07</f>
        <v>1.4017500185805089E-2</v>
      </c>
      <c r="W38" s="123">
        <f>'Parameters | Agora'!$B$4*3.88785344054027E-06</f>
        <v>0.23111733562635689</v>
      </c>
      <c r="X38" s="123">
        <f>'Parameters | Agora'!$B$4*0.000531</f>
        <v>31.565826000000001</v>
      </c>
      <c r="Y38" s="123">
        <f>'Parameters | Agora'!$B$4*0.0013280809371111</f>
        <v>78.94909938750645</v>
      </c>
      <c r="Z38" s="123">
        <f>'Parameters | Agora'!$B$4*0.00108370011984977</f>
        <v>64.421637324589426</v>
      </c>
      <c r="AA38" s="123">
        <f>'Parameters | Agora'!$B$4*0.00139840134321764</f>
        <v>83.129366248915829</v>
      </c>
      <c r="AB38" s="123">
        <f>'Parameters | Agora'!$B$4*0.00000091</f>
        <v>5.4095859999999996E-2</v>
      </c>
      <c r="AC38" s="123">
        <f>'Parameters | Agora'!$B$4*0.0000510908621090487</f>
        <v>3.0371473889345091</v>
      </c>
      <c r="AD38" s="123">
        <f>'Parameters | Agora'!$B$4*5.88382983298475E-07</f>
        <v>3.4977014825161142E-2</v>
      </c>
      <c r="AE38" s="123">
        <f>'Parameters | Agora'!$B$4*5.88382983298475E-07</f>
        <v>3.4977014825161142E-2</v>
      </c>
      <c r="AF38" s="123">
        <f>'Parameters | Agora'!$B$4*0.000281365323992451</f>
        <v>16.726043050055242</v>
      </c>
      <c r="AG38" s="123">
        <f>'Parameters | Agora'!$B$4*1.81194956965381E-07</f>
        <v>1.077131541176404E-2</v>
      </c>
      <c r="AH38" s="123">
        <f>'Parameters | Agora'!$B$4*4.57754637586249E-08</f>
        <v>2.7211682185952157E-3</v>
      </c>
      <c r="AI38" s="123">
        <f>'Parameters | Agora'!$B$4*8.2454093085686E-09</f>
        <v>4.90156601757169E-4</v>
      </c>
      <c r="AJ38" s="123">
        <f>'Parameters | Agora'!$B$4*5.86413782065412E-10</f>
        <v>3.485995368866048E-5</v>
      </c>
    </row>
    <row r="39" spans="1:36">
      <c r="A39" s="120" t="s">
        <v>388</v>
      </c>
      <c r="B39" s="120" t="s">
        <v>389</v>
      </c>
      <c r="C39" s="120" t="s">
        <v>116</v>
      </c>
      <c r="D39" s="120" t="s">
        <v>322</v>
      </c>
      <c r="E39" s="120" t="s">
        <v>316</v>
      </c>
      <c r="F39" s="121">
        <v>2023</v>
      </c>
      <c r="G39" s="123">
        <f>'Parameters | Agora'!$B$4*0.0000975742438369134</f>
        <v>5.8003984991291544</v>
      </c>
      <c r="H39" s="123">
        <f>'Parameters | Agora'!$B$4*2.59532051350803E-06</f>
        <v>0.15428142324599836</v>
      </c>
      <c r="I39" s="123">
        <f>'Parameters | Agora'!$B$4*8.80585532245248E-07</f>
        <v>5.2347287549851011E-2</v>
      </c>
      <c r="J39" s="123">
        <f>'Parameters | Agora'!$B$4*8.63343994036925E-08</f>
        <v>5.1322347069519044E-3</v>
      </c>
      <c r="K39" s="123">
        <f>'Parameters | Agora'!$B$4*2.11974744465684E-07</f>
        <v>1.2601050659507052E-2</v>
      </c>
      <c r="L39" s="123">
        <f>'Parameters | Agora'!$B$4*7.28231373129231E-06</f>
        <v>0.43290442207040264</v>
      </c>
      <c r="M39" s="123">
        <f>'Parameters | Agora'!$B$4*0.00022274539517272</f>
        <v>13.241322761437514</v>
      </c>
      <c r="N39" s="123">
        <f>'Parameters | Agora'!$B$4*0.0000779310931187724</f>
        <v>4.6326917615385446</v>
      </c>
      <c r="O39" s="123">
        <f>'Parameters | Agora'!$B$4*0.0000878474828094391</f>
        <v>5.2221814630899166</v>
      </c>
      <c r="P39" s="123">
        <f>'Parameters | Agora'!$B$4*0.000125016105136602</f>
        <v>7.4317073859504417</v>
      </c>
      <c r="Q39" s="123">
        <f>'Parameters | Agora'!$B$4*0.00000332</f>
        <v>0.19736071999999999</v>
      </c>
      <c r="R39" s="123">
        <f>'Parameters | Agora'!$B$4*0.000000228</f>
        <v>1.3553688E-2</v>
      </c>
      <c r="S39" s="123">
        <f>'Parameters | Agora'!$B$4*0.000000010795</f>
        <v>6.4171957000000001E-4</v>
      </c>
      <c r="T39" s="123">
        <f>'Parameters | Agora'!$B$4*1.65938861340379E-06</f>
        <v>9.8644015512401692E-2</v>
      </c>
      <c r="U39" s="123">
        <f>'Parameters | Agora'!$B$4*8.13298093495177E-06</f>
        <v>0.48347318465914296</v>
      </c>
      <c r="V39" s="123">
        <f>'Parameters | Agora'!$B$4*8.13298093495177E-06</f>
        <v>0.48347318465914296</v>
      </c>
      <c r="W39" s="123">
        <f>'Parameters | Agora'!$B$4*3.88785344054027E-06</f>
        <v>0.23111733562635689</v>
      </c>
      <c r="X39" s="123">
        <f>'Parameters | Agora'!$B$4*0.000531</f>
        <v>31.565826000000001</v>
      </c>
      <c r="Y39" s="123">
        <f>'Parameters | Agora'!$B$4*0.000377505790182497</f>
        <v>22.441209203188716</v>
      </c>
      <c r="Z39" s="123">
        <f>'Parameters | Agora'!$B$4*0.000353306701068235</f>
        <v>21.002670151702297</v>
      </c>
      <c r="AA39" s="123">
        <f>'Parameters | Agora'!$B$4*0.000405738060815804</f>
        <v>24.119504763256284</v>
      </c>
      <c r="AB39" s="123">
        <f>'Parameters | Agora'!$B$4*0.00000091</f>
        <v>5.4095859999999996E-2</v>
      </c>
      <c r="AC39" s="123">
        <f>'Parameters | Agora'!$B$4*0.0000862372832892011</f>
        <v>5.1264615424098485</v>
      </c>
      <c r="AD39" s="123">
        <f>'Parameters | Agora'!$B$4*2.44730806178817E-07</f>
        <v>1.4548267504105953E-2</v>
      </c>
      <c r="AE39" s="123">
        <f>'Parameters | Agora'!$B$4*2.44730806178817E-07</f>
        <v>1.4548267504105953E-2</v>
      </c>
      <c r="AF39" s="123">
        <f>'Parameters | Agora'!$B$4*0.000281365323992451</f>
        <v>16.726043050055242</v>
      </c>
      <c r="AG39" s="123">
        <f>'Parameters | Agora'!$B$4*1.33555093308412E-06</f>
        <v>7.9393160768118601E-2</v>
      </c>
      <c r="AH39" s="123">
        <f>'Parameters | Agora'!$B$4*6.73751682361895E-06</f>
        <v>0.40051842509685209</v>
      </c>
      <c r="AI39" s="123">
        <f>'Parameters | Agora'!$B$4*3.73743450066598E-08</f>
        <v>2.2217553132658982E-3</v>
      </c>
      <c r="AJ39" s="123">
        <f>'Parameters | Agora'!$B$4*2.25388332420366E-08</f>
        <v>1.3398434809061078E-3</v>
      </c>
    </row>
    <row r="40" spans="1:36">
      <c r="A40" s="120" t="s">
        <v>390</v>
      </c>
      <c r="B40" s="120" t="s">
        <v>391</v>
      </c>
      <c r="C40" s="120" t="s">
        <v>119</v>
      </c>
      <c r="D40" s="120" t="s">
        <v>325</v>
      </c>
      <c r="E40" s="120" t="s">
        <v>316</v>
      </c>
      <c r="F40" s="121">
        <v>2023</v>
      </c>
      <c r="G40" s="123">
        <f>'Parameters | Agora'!$B$4*0.000134925965633317</f>
        <v>8.0208089530381628</v>
      </c>
      <c r="H40" s="123">
        <f>'Parameters | Agora'!$B$4*2.59532051350803E-06</f>
        <v>0.15428142324599836</v>
      </c>
      <c r="I40" s="123">
        <f>'Parameters | Agora'!$B$4*9.80045746350651E-07</f>
        <v>5.8259799437560794E-2</v>
      </c>
      <c r="J40" s="123">
        <f>'Parameters | Agora'!$B$4*8.62473484142803E-08</f>
        <v>5.1270598738353068E-3</v>
      </c>
      <c r="K40" s="123">
        <f>'Parameters | Agora'!$B$4*2.35916829246182E-07</f>
        <v>1.4024311831368534E-2</v>
      </c>
      <c r="L40" s="123">
        <f>'Parameters | Agora'!$B$4*7.28231373129231E-06</f>
        <v>0.43290442207040264</v>
      </c>
      <c r="M40" s="123">
        <f>'Parameters | Agora'!$B$4*0.000363578322524845</f>
        <v>21.613276960811934</v>
      </c>
      <c r="N40" s="123">
        <f>'Parameters | Agora'!$B$4*0.000281155230895698</f>
        <v>16.713553855825666</v>
      </c>
      <c r="O40" s="123">
        <f>'Parameters | Agora'!$B$4*0.000663826985897118</f>
        <v>39.461859003640079</v>
      </c>
      <c r="P40" s="123">
        <f>'Parameters | Agora'!$B$4*0.000377107809946764</f>
        <v>22.417550870095333</v>
      </c>
      <c r="Q40" s="123">
        <f>'Parameters | Agora'!$B$4*0.00000332</f>
        <v>0.19736071999999999</v>
      </c>
      <c r="R40" s="123">
        <f>'Parameters | Agora'!$B$4*0.000000228</f>
        <v>1.3553688E-2</v>
      </c>
      <c r="S40" s="123">
        <f>'Parameters | Agora'!$B$4*0.000000010795</f>
        <v>6.4171957000000001E-4</v>
      </c>
      <c r="T40" s="123">
        <f>'Parameters | Agora'!$B$4*1.87459771228436E-06</f>
        <v>0.11143733560445607</v>
      </c>
      <c r="U40" s="123">
        <f>'Parameters | Agora'!$B$4*0.0000148312789282171</f>
        <v>0.88166020716679372</v>
      </c>
      <c r="V40" s="123">
        <f>'Parameters | Agora'!$B$4*0.0000148312789282171</f>
        <v>0.88166020716679372</v>
      </c>
      <c r="W40" s="123">
        <f>'Parameters | Agora'!$B$4*3.88785344054027E-06</f>
        <v>0.23111733562635689</v>
      </c>
      <c r="X40" s="123">
        <f>'Parameters | Agora'!$B$4*0.000531</f>
        <v>31.565826000000001</v>
      </c>
      <c r="Y40" s="123">
        <f>'Parameters | Agora'!$B$4*0.000682850894526845</f>
        <v>40.592754276042825</v>
      </c>
      <c r="Z40" s="123">
        <f>'Parameters | Agora'!$B$4*0.000666219174757576</f>
        <v>39.604065062638867</v>
      </c>
      <c r="AA40" s="123">
        <f>'Parameters | Agora'!$B$4*0.000688553198447738</f>
        <v>40.931733434924233</v>
      </c>
      <c r="AB40" s="123">
        <f>'Parameters | Agora'!$B$4*0.00000091</f>
        <v>5.4095859999999996E-2</v>
      </c>
      <c r="AC40" s="123">
        <f>'Parameters | Agora'!$B$4*0.000119249181585637</f>
        <v>7.0888868485397767</v>
      </c>
      <c r="AD40" s="123">
        <f>'Parameters | Agora'!$B$4*1.06482641554119E-06</f>
        <v>6.3299671098261581E-2</v>
      </c>
      <c r="AE40" s="123">
        <f>'Parameters | Agora'!$B$4*1.06482641554119E-06</f>
        <v>6.3299671098261581E-2</v>
      </c>
      <c r="AF40" s="123">
        <f>'Parameters | Agora'!$B$4*0.000281365323992451</f>
        <v>16.726043050055242</v>
      </c>
      <c r="AG40" s="123">
        <f>'Parameters | Agora'!$B$4*0.0000013819498889974</f>
        <v>8.215139310133944E-2</v>
      </c>
      <c r="AH40" s="123">
        <f>'Parameters | Agora'!$B$4*0.0000133496050981406</f>
        <v>0.79358062466406609</v>
      </c>
      <c r="AI40" s="123">
        <f>'Parameters | Agora'!$B$4*9.51612574212233E-08</f>
        <v>5.6569561086620397E-3</v>
      </c>
      <c r="AJ40" s="123">
        <f>'Parameters | Agora'!$B$4*4.5626836578799E-09</f>
        <v>2.7123329272632854E-4</v>
      </c>
    </row>
    <row r="41" spans="1:36">
      <c r="A41" s="120" t="s">
        <v>392</v>
      </c>
      <c r="B41" s="120" t="s">
        <v>393</v>
      </c>
      <c r="C41" s="120" t="s">
        <v>119</v>
      </c>
      <c r="D41" s="120" t="s">
        <v>319</v>
      </c>
      <c r="E41" s="120" t="s">
        <v>316</v>
      </c>
      <c r="F41" s="121">
        <v>2023</v>
      </c>
      <c r="G41" s="123">
        <f>'Parameters | Agora'!$B$4*0.000129978662083258</f>
        <v>7.7267115462013551</v>
      </c>
      <c r="H41" s="123">
        <f>'Parameters | Agora'!$B$4*2.59532051350803E-06</f>
        <v>0.15428142324599836</v>
      </c>
      <c r="I41" s="123">
        <f>'Parameters | Agora'!$B$4*9.44110603864306E-07</f>
        <v>5.6123598957317535E-2</v>
      </c>
      <c r="J41" s="123">
        <f>'Parameters | Agora'!$B$4*2.24299408328451E-07</f>
        <v>1.3333702627493097E-2</v>
      </c>
      <c r="K41" s="123">
        <f>'Parameters | Agora'!$B$4*2.27266513783402E-07</f>
        <v>1.3510085178368115E-2</v>
      </c>
      <c r="L41" s="123">
        <f>'Parameters | Agora'!$B$4*7.28231373129231E-06</f>
        <v>0.43290442207040264</v>
      </c>
      <c r="M41" s="123">
        <f>'Parameters | Agora'!$B$4*0.00163067043734523</f>
        <v>96.936834818424543</v>
      </c>
      <c r="N41" s="123">
        <f>'Parameters | Agora'!$B$4*0.000735614650373068</f>
        <v>43.7293485060774</v>
      </c>
      <c r="O41" s="123">
        <f>'Parameters | Agora'!$B$4*0.00237547101951612</f>
        <v>141.21225022615528</v>
      </c>
      <c r="P41" s="123">
        <f>'Parameters | Agora'!$B$4*0.000360379364370489</f>
        <v>21.423111694368089</v>
      </c>
      <c r="Q41" s="123">
        <f>'Parameters | Agora'!$B$4*0.00000332</f>
        <v>0.19736071999999999</v>
      </c>
      <c r="R41" s="123">
        <f>'Parameters | Agora'!$B$4*0.000000228</f>
        <v>1.3553688E-2</v>
      </c>
      <c r="S41" s="123">
        <f>'Parameters | Agora'!$B$4*0.000000010795</f>
        <v>6.4171957000000001E-4</v>
      </c>
      <c r="T41" s="123">
        <f>'Parameters | Agora'!$B$4*1.98635070984112E-06</f>
        <v>0.11808060429721523</v>
      </c>
      <c r="U41" s="123">
        <f>'Parameters | Agora'!$B$4*3.11668991636751E-06</f>
        <v>0.18527474876838299</v>
      </c>
      <c r="V41" s="123">
        <f>'Parameters | Agora'!$B$4*3.11668991636751E-06</f>
        <v>0.18527474876838299</v>
      </c>
      <c r="W41" s="123">
        <f>'Parameters | Agora'!$B$4*3.88785344054027E-06</f>
        <v>0.23111733562635689</v>
      </c>
      <c r="X41" s="123">
        <f>'Parameters | Agora'!$B$4*0.000531</f>
        <v>31.565826000000001</v>
      </c>
      <c r="Y41" s="123">
        <f>'Parameters | Agora'!$B$4*0.00116430050408519</f>
        <v>69.213007765848204</v>
      </c>
      <c r="Z41" s="123">
        <f>'Parameters | Agora'!$B$4*0.00107397320088669</f>
        <v>63.843410899910175</v>
      </c>
      <c r="AA41" s="123">
        <f>'Parameters | Agora'!$B$4*0.0013803486660212</f>
        <v>82.056206800296252</v>
      </c>
      <c r="AB41" s="123">
        <f>'Parameters | Agora'!$B$4*0.00000091</f>
        <v>5.4095859999999996E-2</v>
      </c>
      <c r="AC41" s="123">
        <f>'Parameters | Agora'!$B$4*0.000114876695558718</f>
        <v>6.8289600441835505</v>
      </c>
      <c r="AD41" s="123">
        <f>'Parameters | Agora'!$B$4*3.53533402921022E-07</f>
        <v>2.1016146670043073E-2</v>
      </c>
      <c r="AE41" s="123">
        <f>'Parameters | Agora'!$B$4*3.53533402921022E-07</f>
        <v>2.1016146670043073E-2</v>
      </c>
      <c r="AF41" s="123">
        <f>'Parameters | Agora'!$B$4*0.000281365323992451</f>
        <v>16.726043050055242</v>
      </c>
      <c r="AG41" s="123">
        <f>'Parameters | Agora'!$B$4*1.76531738608452E-06</f>
        <v>0.10494105733318038</v>
      </c>
      <c r="AH41" s="123">
        <f>'Parameters | Agora'!$B$4*1.32858052625918E-06</f>
        <v>7.8978797964003214E-2</v>
      </c>
      <c r="AI41" s="123">
        <f>'Parameters | Agora'!$B$4*1.20007603754543E-08</f>
        <v>7.1339720127925634E-4</v>
      </c>
      <c r="AJ41" s="123">
        <f>'Parameters | Agora'!$B$4*1.07912436483477E-08</f>
        <v>6.414962699196774E-4</v>
      </c>
    </row>
    <row r="42" spans="1:36">
      <c r="A42" s="120" t="s">
        <v>394</v>
      </c>
      <c r="B42" s="120" t="s">
        <v>395</v>
      </c>
      <c r="C42" s="120" t="s">
        <v>119</v>
      </c>
      <c r="D42" s="120" t="s">
        <v>325</v>
      </c>
      <c r="E42" s="120" t="s">
        <v>316</v>
      </c>
      <c r="F42" s="121">
        <v>2023</v>
      </c>
      <c r="G42" s="123">
        <f>'Parameters | Agora'!$B$4*0.0000856154147583335</f>
        <v>5.089493945723893</v>
      </c>
      <c r="H42" s="123">
        <f>'Parameters | Agora'!$B$4*2.59532051350803E-06</f>
        <v>0.15428142324599836</v>
      </c>
      <c r="I42" s="123">
        <f>'Parameters | Agora'!$B$4*6.21874541806004E-07</f>
        <v>3.6967954012199718E-2</v>
      </c>
      <c r="J42" s="123">
        <f>'Parameters | Agora'!$B$4*2.24299408328451E-07</f>
        <v>1.3333702627493097E-2</v>
      </c>
      <c r="K42" s="123">
        <f>'Parameters | Agora'!$B$4*1.49697777515074E-07</f>
        <v>8.8989340821610877E-3</v>
      </c>
      <c r="L42" s="123">
        <f>'Parameters | Agora'!$B$4*7.28231373129231E-06</f>
        <v>0.43290442207040264</v>
      </c>
      <c r="M42" s="123">
        <f>'Parameters | Agora'!$B$4*0.000779508130733751</f>
        <v>46.338640339598562</v>
      </c>
      <c r="N42" s="123">
        <f>'Parameters | Agora'!$B$4*0.000448267370505182</f>
        <v>26.64770210705105</v>
      </c>
      <c r="O42" s="123">
        <f>'Parameters | Agora'!$B$4*0</f>
        <v>0</v>
      </c>
      <c r="P42" s="123">
        <f>'Parameters | Agora'!$B$4*0.000213273085515553</f>
        <v>12.678231841557563</v>
      </c>
      <c r="Q42" s="123">
        <f>'Parameters | Agora'!$B$4*0.00000332</f>
        <v>0.19736071999999999</v>
      </c>
      <c r="R42" s="123">
        <f>'Parameters | Agora'!$B$4*0.000000228</f>
        <v>1.3553688E-2</v>
      </c>
      <c r="S42" s="123">
        <f>'Parameters | Agora'!$B$4*0.000000010795</f>
        <v>6.4171957000000001E-4</v>
      </c>
      <c r="T42" s="123">
        <f>'Parameters | Agora'!$B$4*1.39846558970044E-06</f>
        <v>8.3133185445332353E-2</v>
      </c>
      <c r="U42" s="123">
        <f>'Parameters | Agora'!$B$4*2.09213782219153E-06</f>
        <v>0.12436922497799768</v>
      </c>
      <c r="V42" s="123">
        <f>'Parameters | Agora'!$B$4*2.09213782219153E-06</f>
        <v>0.12436922497799768</v>
      </c>
      <c r="W42" s="123">
        <f>'Parameters | Agora'!$B$4*3.88785344054027E-06</f>
        <v>0.23111733562635689</v>
      </c>
      <c r="X42" s="123">
        <f>'Parameters | Agora'!$B$4*0.000531</f>
        <v>31.565826000000001</v>
      </c>
      <c r="Y42" s="123">
        <f>'Parameters | Agora'!$B$4*0.000750714370983621</f>
        <v>44.626966497492333</v>
      </c>
      <c r="Z42" s="123">
        <f>'Parameters | Agora'!$B$4*0.000591302160591577</f>
        <v>35.150548238526888</v>
      </c>
      <c r="AA42" s="123">
        <f>'Parameters | Agora'!$B$4*0.000962839564684217</f>
        <v>57.236960762217961</v>
      </c>
      <c r="AB42" s="123">
        <f>'Parameters | Agora'!$B$4*0.00000091</f>
        <v>5.4095859999999996E-2</v>
      </c>
      <c r="AC42" s="123">
        <f>'Parameters | Agora'!$B$4*0.0000756679271712038</f>
        <v>4.4981555986193813</v>
      </c>
      <c r="AD42" s="123">
        <f>'Parameters | Agora'!$B$4*0</f>
        <v>0</v>
      </c>
      <c r="AE42" s="123">
        <f>'Parameters | Agora'!$B$4*0</f>
        <v>0</v>
      </c>
      <c r="AF42" s="123">
        <f>'Parameters | Agora'!$B$4*0.000281365323992451</f>
        <v>16.726043050055242</v>
      </c>
      <c r="AG42" s="123">
        <f>'Parameters | Agora'!$B$4*1.27900442495015E-06</f>
        <v>7.6031697045586613E-2</v>
      </c>
      <c r="AH42" s="123">
        <f>'Parameters | Agora'!$B$4*8.07598156835269E-07</f>
        <v>4.80084800312294E-2</v>
      </c>
      <c r="AI42" s="123">
        <f>'Parameters | Agora'!$B$4*0</f>
        <v>0</v>
      </c>
      <c r="AJ42" s="123">
        <f>'Parameters | Agora'!$B$4*5.53524040610455E-09</f>
        <v>3.2904790118129106E-4</v>
      </c>
    </row>
    <row r="43" spans="1:36">
      <c r="A43" s="120" t="s">
        <v>396</v>
      </c>
      <c r="B43" s="120" t="s">
        <v>397</v>
      </c>
      <c r="C43" s="120" t="s">
        <v>116</v>
      </c>
      <c r="D43" s="120" t="s">
        <v>322</v>
      </c>
      <c r="E43" s="120" t="s">
        <v>316</v>
      </c>
      <c r="F43" s="121">
        <v>2023</v>
      </c>
      <c r="G43" s="123">
        <f>'Parameters | Agora'!$B$4*0.0000338893643450294</f>
        <v>2.0145871528546175</v>
      </c>
      <c r="H43" s="123">
        <f>'Parameters | Agora'!$B$4*2.59532051350803E-06</f>
        <v>0.15428142324599836</v>
      </c>
      <c r="I43" s="123">
        <f>'Parameters | Agora'!$B$4*1.61271239570053E-06</f>
        <v>9.5869301074813701E-2</v>
      </c>
      <c r="J43" s="123">
        <f>'Parameters | Agora'!$B$4*8.63343994036925E-08</f>
        <v>5.1322347069519044E-3</v>
      </c>
      <c r="K43" s="123">
        <f>'Parameters | Agora'!$B$4*3.88212485280819E-07</f>
        <v>2.3077679400003569E-2</v>
      </c>
      <c r="L43" s="123">
        <f>'Parameters | Agora'!$B$4*7.28231373129231E-06</f>
        <v>0.43290442207040264</v>
      </c>
      <c r="M43" s="123">
        <f>'Parameters | Agora'!$B$4*0</f>
        <v>0</v>
      </c>
      <c r="N43" s="123">
        <f>'Parameters | Agora'!$B$4*0</f>
        <v>0</v>
      </c>
      <c r="O43" s="123">
        <f>'Parameters | Agora'!$B$4*0.000108562122202567</f>
        <v>6.4535839164537983</v>
      </c>
      <c r="P43" s="123">
        <f>'Parameters | Agora'!$B$4*0.000193068827841116</f>
        <v>11.477169539842983</v>
      </c>
      <c r="Q43" s="123">
        <f>'Parameters | Agora'!$B$4*0.00000332</f>
        <v>0.19736071999999999</v>
      </c>
      <c r="R43" s="123">
        <f>'Parameters | Agora'!$B$4*0.000000228</f>
        <v>1.3553688E-2</v>
      </c>
      <c r="S43" s="123">
        <f>'Parameters | Agora'!$B$4*0.000000010795</f>
        <v>6.4171957000000001E-4</v>
      </c>
      <c r="T43" s="123">
        <f>'Parameters | Agora'!$B$4*4.41997364914415E-06</f>
        <v>0.26274975354702318</v>
      </c>
      <c r="U43" s="123">
        <f>'Parameters | Agora'!$B$4*0.0000213616054156606</f>
        <v>1.2698619955393602</v>
      </c>
      <c r="V43" s="123">
        <f>'Parameters | Agora'!$B$4*0.0000213616054156606</f>
        <v>1.2698619955393602</v>
      </c>
      <c r="W43" s="123">
        <f>'Parameters | Agora'!$B$4*3.88785344054027E-06</f>
        <v>0.23111733562635689</v>
      </c>
      <c r="X43" s="123">
        <f>'Parameters | Agora'!$B$4*0.000531</f>
        <v>31.565826000000001</v>
      </c>
      <c r="Y43" s="123">
        <f>'Parameters | Agora'!$B$4*0.000292291317355649</f>
        <v>17.375549651523912</v>
      </c>
      <c r="Z43" s="123">
        <f>'Parameters | Agora'!$B$4*0.000275787793994752</f>
        <v>16.394481201812027</v>
      </c>
      <c r="AA43" s="123">
        <f>'Parameters | Agora'!$B$4*0.0002994494720664</f>
        <v>17.801073316459213</v>
      </c>
      <c r="AB43" s="123">
        <f>'Parameters | Agora'!$B$4*0.00000091</f>
        <v>5.4095859999999996E-2</v>
      </c>
      <c r="AC43" s="123">
        <f>'Parameters | Agora'!$B$4*0.0000299518253853752</f>
        <v>1.7805162118590141</v>
      </c>
      <c r="AD43" s="123">
        <f>'Parameters | Agora'!$B$4*2.59947257401067E-06</f>
        <v>0.15452824663463829</v>
      </c>
      <c r="AE43" s="123">
        <f>'Parameters | Agora'!$B$4*2.59947257401067E-06</f>
        <v>0.15452824663463829</v>
      </c>
      <c r="AF43" s="123">
        <f>'Parameters | Agora'!$B$4*0.000281365323992451</f>
        <v>16.726043050055242</v>
      </c>
      <c r="AG43" s="123">
        <f>'Parameters | Agora'!$B$4*2.59685364492441E-06</f>
        <v>0.15437256177617648</v>
      </c>
      <c r="AH43" s="123">
        <f>'Parameters | Agora'!$B$4*0.0000182025430545509</f>
        <v>1.0820683744208328</v>
      </c>
      <c r="AI43" s="123">
        <f>'Parameters | Agora'!$B$4*5.26410557056714E-07</f>
        <v>3.129300197479342E-2</v>
      </c>
      <c r="AJ43" s="123">
        <f>'Parameters | Agora'!$B$4*3.57981591285903E-08</f>
        <v>2.1280573675581788E-3</v>
      </c>
    </row>
    <row r="44" spans="1:36">
      <c r="A44" s="120" t="s">
        <v>398</v>
      </c>
      <c r="B44" s="120" t="s">
        <v>399</v>
      </c>
      <c r="C44" s="120" t="s">
        <v>119</v>
      </c>
      <c r="D44" s="120" t="s">
        <v>325</v>
      </c>
      <c r="E44" s="120" t="s">
        <v>316</v>
      </c>
      <c r="F44" s="121">
        <v>2023</v>
      </c>
      <c r="G44" s="123">
        <f>'Parameters | Agora'!$B$4*0.00014245729115826</f>
        <v>8.4685161301939242</v>
      </c>
      <c r="H44" s="123">
        <f>'Parameters | Agora'!$B$4*2.59532051350803E-06</f>
        <v>0.15428142324599836</v>
      </c>
      <c r="I44" s="123">
        <f>'Parameters | Agora'!$B$4*1.03475014302076E-06</f>
        <v>6.1511757002012099E-2</v>
      </c>
      <c r="J44" s="123">
        <f>'Parameters | Agora'!$B$4*2.24299408328451E-07</f>
        <v>1.3333702627493097E-2</v>
      </c>
      <c r="K44" s="123">
        <f>'Parameters | Agora'!$B$4*2.49085283735468E-07</f>
        <v>1.4807123776938632E-2</v>
      </c>
      <c r="L44" s="123">
        <f>'Parameters | Agora'!$B$4*7.28231373129231E-06</f>
        <v>0.43290442207040264</v>
      </c>
      <c r="M44" s="123">
        <f>'Parameters | Agora'!$B$4*0.000123474775132034</f>
        <v>7.3400814824988929</v>
      </c>
      <c r="N44" s="123">
        <f>'Parameters | Agora'!$B$4*0.000100324964909544</f>
        <v>5.9639178640127524</v>
      </c>
      <c r="O44" s="123">
        <f>'Parameters | Agora'!$B$4*0.000802232915111477</f>
        <v>47.689537871716858</v>
      </c>
      <c r="P44" s="123">
        <f>'Parameters | Agora'!$B$4*0.00112340998546631</f>
        <v>66.782229996030267</v>
      </c>
      <c r="Q44" s="123">
        <f>'Parameters | Agora'!$B$4*0.00000332</f>
        <v>0.19736071999999999</v>
      </c>
      <c r="R44" s="123">
        <f>'Parameters | Agora'!$B$4*0.000000228</f>
        <v>1.3553688E-2</v>
      </c>
      <c r="S44" s="123">
        <f>'Parameters | Agora'!$B$4*0.000000010795</f>
        <v>6.4171957000000001E-4</v>
      </c>
      <c r="T44" s="123">
        <f>'Parameters | Agora'!$B$4*2.16238100195674E-06</f>
        <v>0.12854490104232036</v>
      </c>
      <c r="U44" s="123">
        <f>'Parameters | Agora'!$B$4*3.40789811864666E-06</f>
        <v>0.20258591156106934</v>
      </c>
      <c r="V44" s="123">
        <f>'Parameters | Agora'!$B$4*3.40789811864666E-06</f>
        <v>0.20258591156106934</v>
      </c>
      <c r="W44" s="123">
        <f>'Parameters | Agora'!$B$4*3.88785344054027E-06</f>
        <v>0.23111733562635689</v>
      </c>
      <c r="X44" s="123">
        <f>'Parameters | Agora'!$B$4*0.000531</f>
        <v>31.565826000000001</v>
      </c>
      <c r="Y44" s="123">
        <f>'Parameters | Agora'!$B$4*0.00141970068429887</f>
        <v>84.395526878830623</v>
      </c>
      <c r="Z44" s="123">
        <f>'Parameters | Agora'!$B$4*0.00126617205300993</f>
        <v>75.268863863228304</v>
      </c>
      <c r="AA44" s="123">
        <f>'Parameters | Agora'!$B$4*0.00163646765341849</f>
        <v>97.281456125115554</v>
      </c>
      <c r="AB44" s="123">
        <f>'Parameters | Agora'!$B$4*0.00000091</f>
        <v>5.4095859999999996E-2</v>
      </c>
      <c r="AC44" s="123">
        <f>'Parameters | Agora'!$B$4*0.000125905457128221</f>
        <v>7.4845758044442263</v>
      </c>
      <c r="AD44" s="123">
        <f>'Parameters | Agora'!$B$4*1.34386896508842E-06</f>
        <v>7.9887634498646221E-2</v>
      </c>
      <c r="AE44" s="123">
        <f>'Parameters | Agora'!$B$4*1.34386896508842E-06</f>
        <v>7.9887634498646221E-2</v>
      </c>
      <c r="AF44" s="123">
        <f>'Parameters | Agora'!$B$4*0.000281365323992451</f>
        <v>16.726043050055242</v>
      </c>
      <c r="AG44" s="123">
        <f>'Parameters | Agora'!$B$4*1.86000313089113E-06</f>
        <v>0.11056974611895412</v>
      </c>
      <c r="AH44" s="123">
        <f>'Parameters | Agora'!$B$4*0.0000015026507223874</f>
        <v>8.9326574843041379E-2</v>
      </c>
      <c r="AI44" s="123">
        <f>'Parameters | Agora'!$B$4*3.51276149987748E-08</f>
        <v>2.0881962012171667E-3</v>
      </c>
      <c r="AJ44" s="123">
        <f>'Parameters | Agora'!$B$4*1.0116650369354E-08</f>
        <v>6.0139439785661787E-4</v>
      </c>
    </row>
    <row r="45" spans="1:36">
      <c r="A45" s="120" t="s">
        <v>74</v>
      </c>
      <c r="B45" s="120" t="s">
        <v>75</v>
      </c>
      <c r="C45" s="120" t="s">
        <v>115</v>
      </c>
      <c r="D45" s="120" t="s">
        <v>121</v>
      </c>
      <c r="E45" s="120" t="s">
        <v>316</v>
      </c>
      <c r="F45" s="121">
        <v>2023</v>
      </c>
      <c r="G45" s="123">
        <f>'Parameters | Agora'!$B$4*0.0000125513948300685</f>
        <v>0.74613021706825211</v>
      </c>
      <c r="H45" s="123">
        <f>'Parameters | Agora'!$B$4*2.59532051350803E-06</f>
        <v>0.15428142324599836</v>
      </c>
      <c r="I45" s="123">
        <f>'Parameters | Agora'!$B$4*1.27428476414076E-06</f>
        <v>7.575113208911162E-2</v>
      </c>
      <c r="J45" s="123">
        <f>'Parameters | Agora'!$B$4*4.88936917779182E-08</f>
        <v>2.9065344014301254E-3</v>
      </c>
      <c r="K45" s="123">
        <f>'Parameters | Agora'!$B$4*3.0674611081394E-07</f>
        <v>1.8234829303445478E-2</v>
      </c>
      <c r="L45" s="123">
        <f>'Parameters | Agora'!$B$4*7.28231373129231E-06</f>
        <v>0.43290442207040264</v>
      </c>
      <c r="M45" s="123">
        <f>'Parameters | Agora'!$B$4*0.0000348743669625303</f>
        <v>2.0731416184545761</v>
      </c>
      <c r="N45" s="123">
        <f>'Parameters | Agora'!$B$4*5.31659830186844E-06</f>
        <v>0.31605050265287127</v>
      </c>
      <c r="O45" s="123">
        <f>'Parameters | Agora'!$B$4*0.0000380746691331453</f>
        <v>2.2633867812889554</v>
      </c>
      <c r="P45" s="123">
        <f>'Parameters | Agora'!$B$4*0.000066548248995675</f>
        <v>3.9560272097968965</v>
      </c>
      <c r="Q45" s="123">
        <f>'Parameters | Agora'!$B$4*0.00000332</f>
        <v>0.19736071999999999</v>
      </c>
      <c r="R45" s="123">
        <f>'Parameters | Agora'!$B$4*0.000000228</f>
        <v>1.3553688E-2</v>
      </c>
      <c r="S45" s="123">
        <f>'Parameters | Agora'!$B$4*0.000000010795</f>
        <v>6.4171957000000001E-4</v>
      </c>
      <c r="T45" s="123">
        <f>'Parameters | Agora'!$B$4*2.04699103155072E-06</f>
        <v>0.1216854288615641</v>
      </c>
      <c r="U45" s="123">
        <f>'Parameters | Agora'!$B$4*2.15561776861891E-06</f>
        <v>0.12814285387331972</v>
      </c>
      <c r="V45" s="123">
        <f>'Parameters | Agora'!$B$4*2.15561776861891E-06</f>
        <v>0.12814285387331972</v>
      </c>
      <c r="W45" s="123">
        <f>'Parameters | Agora'!$B$4*3.88785344054027E-06</f>
        <v>0.23111733562635689</v>
      </c>
      <c r="X45" s="123">
        <f>'Parameters | Agora'!$B$4*0.000531</f>
        <v>31.565826000000001</v>
      </c>
      <c r="Y45" s="123">
        <f>'Parameters | Agora'!$B$4*0.00111970682182566</f>
        <v>66.562091730248184</v>
      </c>
      <c r="Z45" s="123">
        <f>'Parameters | Agora'!$B$4*0.00110506055862323</f>
        <v>65.691429967916534</v>
      </c>
      <c r="AA45" s="123">
        <f>'Parameters | Agora'!$B$4*0.00113435308502809</f>
        <v>67.432753492579849</v>
      </c>
      <c r="AB45" s="123">
        <f>'Parameters | Agora'!$B$4*0.00000091</f>
        <v>5.4095859999999996E-2</v>
      </c>
      <c r="AC45" s="123">
        <f>'Parameters | Agora'!$B$4*0.0000110930728138089</f>
        <v>0.65943880648968389</v>
      </c>
      <c r="AD45" s="123">
        <f>'Parameters | Agora'!$B$4*0</f>
        <v>0</v>
      </c>
      <c r="AE45" s="123">
        <f>'Parameters | Agora'!$B$4*0</f>
        <v>0</v>
      </c>
      <c r="AF45" s="123">
        <f>'Parameters | Agora'!$B$4*0.000281365323992451</f>
        <v>16.726043050055242</v>
      </c>
      <c r="AG45" s="123">
        <f>'Parameters | Agora'!$B$4*1.81643185883485E-06</f>
        <v>0.10797960828029649</v>
      </c>
      <c r="AH45" s="123">
        <f>'Parameters | Agora'!$B$4*3.32073188954188E-07</f>
        <v>1.9740422790570662E-2</v>
      </c>
      <c r="AI45" s="123">
        <f>'Parameters | Agora'!$B$4*0</f>
        <v>0</v>
      </c>
      <c r="AJ45" s="123">
        <f>'Parameters | Agora'!$B$4*7.11272082987047E-09</f>
        <v>4.2282280245247995E-4</v>
      </c>
    </row>
    <row r="46" spans="1:36">
      <c r="A46" s="120" t="s">
        <v>400</v>
      </c>
      <c r="B46" s="120" t="s">
        <v>401</v>
      </c>
      <c r="C46" s="120" t="s">
        <v>116</v>
      </c>
      <c r="D46" s="120" t="s">
        <v>322</v>
      </c>
      <c r="E46" s="120" t="s">
        <v>316</v>
      </c>
      <c r="F46" s="121">
        <v>2023</v>
      </c>
      <c r="G46" s="123">
        <f>'Parameters | Agora'!$B$4*0.0000495116102192343</f>
        <v>2.9432671810926023</v>
      </c>
      <c r="H46" s="123">
        <f>'Parameters | Agora'!$B$4*2.59532051350803E-06</f>
        <v>0.15428142324599836</v>
      </c>
      <c r="I46" s="123">
        <f>'Parameters | Agora'!$B$4*9.4260365866935E-07</f>
        <v>5.6034017093258184E-2</v>
      </c>
      <c r="J46" s="123">
        <f>'Parameters | Agora'!$B$4*8.63343994036925E-08</f>
        <v>5.1322347069519044E-3</v>
      </c>
      <c r="K46" s="123">
        <f>'Parameters | Agora'!$B$4*2.26903761602123E-07</f>
        <v>1.3488521012199804E-2</v>
      </c>
      <c r="L46" s="123">
        <f>'Parameters | Agora'!$B$4*7.28231373129231E-06</f>
        <v>0.43290442207040264</v>
      </c>
      <c r="M46" s="123">
        <f>'Parameters | Agora'!$B$4*0.000131139747951105</f>
        <v>7.7957334567013881</v>
      </c>
      <c r="N46" s="123">
        <f>'Parameters | Agora'!$B$4*0.0000322050576967758</f>
        <v>1.914461859842534</v>
      </c>
      <c r="O46" s="123">
        <f>'Parameters | Agora'!$B$4*0.0000398042469099861</f>
        <v>2.3662032618110338</v>
      </c>
      <c r="P46" s="123">
        <f>'Parameters | Agora'!$B$4*0.0000179652261447115</f>
        <v>1.0679608333985198</v>
      </c>
      <c r="Q46" s="123">
        <f>'Parameters | Agora'!$B$4*0.00000332</f>
        <v>0.19736071999999999</v>
      </c>
      <c r="R46" s="123">
        <f>'Parameters | Agora'!$B$4*0.000000228</f>
        <v>1.3553688E-2</v>
      </c>
      <c r="S46" s="123">
        <f>'Parameters | Agora'!$B$4*0.000000010795</f>
        <v>6.4171957000000001E-4</v>
      </c>
      <c r="T46" s="123">
        <f>'Parameters | Agora'!$B$4*1.96089862650252E-06</f>
        <v>0.11656757975106881</v>
      </c>
      <c r="U46" s="123">
        <f>'Parameters | Agora'!$B$4*2.26232501335739E-06</f>
        <v>0.1344861727440434</v>
      </c>
      <c r="V46" s="123">
        <f>'Parameters | Agora'!$B$4*2.26232501335739E-06</f>
        <v>0.1344861727440434</v>
      </c>
      <c r="W46" s="123">
        <f>'Parameters | Agora'!$B$4*3.88785344054027E-06</f>
        <v>0.23111733562635689</v>
      </c>
      <c r="X46" s="123">
        <f>'Parameters | Agora'!$B$4*0.000531</f>
        <v>31.565826000000001</v>
      </c>
      <c r="Y46" s="123">
        <f>'Parameters | Agora'!$B$4*0.00086592823005779</f>
        <v>51.475969564015379</v>
      </c>
      <c r="Z46" s="123">
        <f>'Parameters | Agora'!$B$4*0.00070600454793</f>
        <v>41.969146356246775</v>
      </c>
      <c r="AA46" s="123">
        <f>'Parameters | Agora'!$B$4*0.00103105268233608</f>
        <v>61.291957754150609</v>
      </c>
      <c r="AB46" s="123">
        <f>'Parameters | Agora'!$B$4*0.00000091</f>
        <v>5.4095859999999996E-2</v>
      </c>
      <c r="AC46" s="123">
        <f>'Parameters | Agora'!$B$4*0.0000437589530667243</f>
        <v>2.6012947240044926</v>
      </c>
      <c r="AD46" s="123">
        <f>'Parameters | Agora'!$B$4*5.24928816063811E-06</f>
        <v>0.31204918399729309</v>
      </c>
      <c r="AE46" s="123">
        <f>'Parameters | Agora'!$B$4*5.24928816063811E-06</f>
        <v>0.31204918399729309</v>
      </c>
      <c r="AF46" s="123">
        <f>'Parameters | Agora'!$B$4*0.000281365323992451</f>
        <v>16.726043050055242</v>
      </c>
      <c r="AG46" s="123">
        <f>'Parameters | Agora'!$B$4*0.0000013697114962008</f>
        <v>8.142386960315276E-2</v>
      </c>
      <c r="AH46" s="123">
        <f>'Parameters | Agora'!$B$4*7.68694119760079E-07</f>
        <v>4.5695790643257655E-2</v>
      </c>
      <c r="AI46" s="123">
        <f>'Parameters | Agora'!$B$4*1.10957165869727E-07</f>
        <v>6.5959596822917918E-3</v>
      </c>
      <c r="AJ46" s="123">
        <f>'Parameters | Agora'!$B$4*1.29622315267877E-08</f>
        <v>7.7055281534142163E-4</v>
      </c>
    </row>
    <row r="47" spans="1:36">
      <c r="A47" s="120" t="s">
        <v>402</v>
      </c>
      <c r="B47" s="120" t="s">
        <v>403</v>
      </c>
      <c r="C47" s="120" t="s">
        <v>115</v>
      </c>
      <c r="D47" s="120" t="s">
        <v>121</v>
      </c>
      <c r="E47" s="120" t="s">
        <v>316</v>
      </c>
      <c r="F47" s="121">
        <v>2023</v>
      </c>
      <c r="G47" s="123">
        <f>'Parameters | Agora'!$B$4*0.0000122052866306566</f>
        <v>0.72555546904601231</v>
      </c>
      <c r="H47" s="123">
        <f>'Parameters | Agora'!$B$4*2.59532051350803E-06</f>
        <v>0.15428142324599836</v>
      </c>
      <c r="I47" s="123">
        <f>'Parameters | Agora'!$B$4*1.15314054771007E-06</f>
        <v>6.854959299917282E-2</v>
      </c>
      <c r="J47" s="123">
        <f>'Parameters | Agora'!$B$4*4.88936917779182E-08</f>
        <v>2.9065344014301254E-3</v>
      </c>
      <c r="K47" s="123">
        <f>'Parameters | Agora'!$B$4*2.77584248188379E-07</f>
        <v>1.6501273217806377E-2</v>
      </c>
      <c r="L47" s="123">
        <f>'Parameters | Agora'!$B$4*7.28231373129231E-06</f>
        <v>0.43290442207040264</v>
      </c>
      <c r="M47" s="123">
        <f>'Parameters | Agora'!$B$4*0</f>
        <v>0</v>
      </c>
      <c r="N47" s="123">
        <f>'Parameters | Agora'!$B$4*0</f>
        <v>0</v>
      </c>
      <c r="O47" s="123">
        <f>'Parameters | Agora'!$B$4*9.01048375886264E-07</f>
        <v>5.3563721752934848E-2</v>
      </c>
      <c r="P47" s="123">
        <f>'Parameters | Agora'!$B$4*2.75905449674402E-07</f>
        <v>1.6401475361344502E-2</v>
      </c>
      <c r="Q47" s="123">
        <f>'Parameters | Agora'!$B$4*0.00000332</f>
        <v>0.19736071999999999</v>
      </c>
      <c r="R47" s="123">
        <f>'Parameters | Agora'!$B$4*0.000000228</f>
        <v>1.3553688E-2</v>
      </c>
      <c r="S47" s="123">
        <f>'Parameters | Agora'!$B$4*0.000000010795</f>
        <v>6.4171957000000001E-4</v>
      </c>
      <c r="T47" s="123">
        <f>'Parameters | Agora'!$B$4*2.05174993071839E-06</f>
        <v>0.12196832638148541</v>
      </c>
      <c r="U47" s="123">
        <f>'Parameters | Agora'!$B$4*0.0000021135003899993</f>
        <v>0.12563914418389838</v>
      </c>
      <c r="V47" s="123">
        <f>'Parameters | Agora'!$B$4*0.0000021135003899993</f>
        <v>0.12563914418389838</v>
      </c>
      <c r="W47" s="123">
        <f>'Parameters | Agora'!$B$4*3.88785344054027E-06</f>
        <v>0.23111733562635689</v>
      </c>
      <c r="X47" s="123">
        <f>'Parameters | Agora'!$B$4*0.000531</f>
        <v>31.565826000000001</v>
      </c>
      <c r="Y47" s="123">
        <f>'Parameters | Agora'!$B$4*0.00039655945442066</f>
        <v>23.573873327490556</v>
      </c>
      <c r="Z47" s="123">
        <f>'Parameters | Agora'!$B$4*0.000355319456061487</f>
        <v>21.122320385031156</v>
      </c>
      <c r="AA47" s="123">
        <f>'Parameters | Agora'!$B$4*0.000422232036180675</f>
        <v>25.100005622796406</v>
      </c>
      <c r="AB47" s="123">
        <f>'Parameters | Agora'!$B$4*0.00000091</f>
        <v>5.4095859999999996E-2</v>
      </c>
      <c r="AC47" s="123">
        <f>'Parameters | Agora'!$B$4*0.0000107871782491399</f>
        <v>0.6412545981983705</v>
      </c>
      <c r="AD47" s="123">
        <f>'Parameters | Agora'!$B$4*3.87964197343639E-06</f>
        <v>0.23062919675289967</v>
      </c>
      <c r="AE47" s="123">
        <f>'Parameters | Agora'!$B$4*3.87964197343639E-06</f>
        <v>0.23062919675289967</v>
      </c>
      <c r="AF47" s="123">
        <f>'Parameters | Agora'!$B$4*0.000281365323992451</f>
        <v>16.726043050055242</v>
      </c>
      <c r="AG47" s="123">
        <f>'Parameters | Agora'!$B$4*1.62602863982653E-06</f>
        <v>9.6660898523127911E-2</v>
      </c>
      <c r="AH47" s="123">
        <f>'Parameters | Agora'!$B$4*3.87785250549047E-07</f>
        <v>2.3052282004138648E-2</v>
      </c>
      <c r="AI47" s="123">
        <f>'Parameters | Agora'!$B$4*9.57810775978041E-08</f>
        <v>5.6938019388790622E-3</v>
      </c>
      <c r="AJ47" s="123">
        <f>'Parameters | Agora'!$B$4*3.90542202591754E-09</f>
        <v>2.321617177526941E-4</v>
      </c>
    </row>
    <row r="48" spans="1:36">
      <c r="A48" s="120" t="s">
        <v>404</v>
      </c>
      <c r="B48" s="120" t="s">
        <v>405</v>
      </c>
      <c r="C48" s="120" t="s">
        <v>115</v>
      </c>
      <c r="D48" s="120" t="s">
        <v>121</v>
      </c>
      <c r="E48" s="120" t="s">
        <v>316</v>
      </c>
      <c r="F48" s="121">
        <v>2023</v>
      </c>
      <c r="G48" s="123">
        <f>'Parameters | Agora'!$B$4*0.0000237031719978729</f>
        <v>1.4090587625855524</v>
      </c>
      <c r="H48" s="123">
        <f>'Parameters | Agora'!$B$4*2.59532051350803E-06</f>
        <v>0.15428142324599836</v>
      </c>
      <c r="I48" s="123">
        <f>'Parameters | Agora'!$B$4*8.16692199828764E-07</f>
        <v>4.8549084511020704E-2</v>
      </c>
      <c r="J48" s="123">
        <f>'Parameters | Agora'!$B$4*4.88936917779182E-08</f>
        <v>2.9065344014301254E-3</v>
      </c>
      <c r="K48" s="123">
        <f>'Parameters | Agora'!$B$4*1.96594327327201E-07</f>
        <v>1.1686746382292791E-2</v>
      </c>
      <c r="L48" s="123">
        <f>'Parameters | Agora'!$B$4*7.28231373129231E-06</f>
        <v>0.43290442207040264</v>
      </c>
      <c r="M48" s="123">
        <f>'Parameters | Agora'!$B$4*0.0000470105262822789</f>
        <v>2.7945877453763512</v>
      </c>
      <c r="N48" s="123">
        <f>'Parameters | Agora'!$B$4*0</f>
        <v>0</v>
      </c>
      <c r="O48" s="123">
        <f>'Parameters | Agora'!$B$4*0</f>
        <v>0</v>
      </c>
      <c r="P48" s="123">
        <f>'Parameters | Agora'!$B$4*0</f>
        <v>0</v>
      </c>
      <c r="Q48" s="123">
        <f>'Parameters | Agora'!$B$4*0.00000332</f>
        <v>0.19736071999999999</v>
      </c>
      <c r="R48" s="123">
        <f>'Parameters | Agora'!$B$4*0.000000228</f>
        <v>1.3553688E-2</v>
      </c>
      <c r="S48" s="123">
        <f>'Parameters | Agora'!$B$4*0.000000010795</f>
        <v>6.4171957000000001E-4</v>
      </c>
      <c r="T48" s="123">
        <f>'Parameters | Agora'!$B$4*1.35022293055258E-06</f>
        <v>8.026535232962867E-2</v>
      </c>
      <c r="U48" s="123">
        <f>'Parameters | Agora'!$B$4*1.41424002011988E-06</f>
        <v>8.4070912236046388E-2</v>
      </c>
      <c r="V48" s="123">
        <f>'Parameters | Agora'!$B$4*1.41424002011988E-06</f>
        <v>8.4070912236046388E-2</v>
      </c>
      <c r="W48" s="123">
        <f>'Parameters | Agora'!$B$4*3.88785344054027E-06</f>
        <v>0.23111733562635689</v>
      </c>
      <c r="X48" s="123">
        <f>'Parameters | Agora'!$B$4*0.000531</f>
        <v>31.565826000000001</v>
      </c>
      <c r="Y48" s="123">
        <f>'Parameters | Agora'!$B$4*0.000990790540384475</f>
        <v>58.898534463695505</v>
      </c>
      <c r="Z48" s="123">
        <f>'Parameters | Agora'!$B$4*0.000936898167894943</f>
        <v>55.69484848868278</v>
      </c>
      <c r="AA48" s="123">
        <f>'Parameters | Agora'!$B$4*0.00102948250012055</f>
        <v>61.198616702166213</v>
      </c>
      <c r="AB48" s="123">
        <f>'Parameters | Agora'!$B$4*0.00000091</f>
        <v>5.4095859999999996E-2</v>
      </c>
      <c r="AC48" s="123">
        <f>'Parameters | Agora'!$B$4*0.0000209491468040454</f>
        <v>1.2453429809132828</v>
      </c>
      <c r="AD48" s="123">
        <f>'Parameters | Agora'!$B$4*2.99894848867581E-07</f>
        <v>1.7827549185782221E-2</v>
      </c>
      <c r="AE48" s="123">
        <f>'Parameters | Agora'!$B$4*2.99894848867581E-07</f>
        <v>1.7827549185782221E-2</v>
      </c>
      <c r="AF48" s="123">
        <f>'Parameters | Agora'!$B$4*0.000281365323992451</f>
        <v>16.726043050055242</v>
      </c>
      <c r="AG48" s="123">
        <f>'Parameters | Agora'!$B$4*0.0000011841121513284</f>
        <v>7.039073094786806E-2</v>
      </c>
      <c r="AH48" s="123">
        <f>'Parameters | Agora'!$B$4*2.20408631015989E-07</f>
        <v>1.3102411479376483E-2</v>
      </c>
      <c r="AI48" s="123">
        <f>'Parameters | Agora'!$B$4*6.93983532378519E-09</f>
        <v>4.1254545065773438E-4</v>
      </c>
      <c r="AJ48" s="123">
        <f>'Parameters | Agora'!$B$4*2.77940245170809E-09</f>
        <v>1.6522435814423912E-4</v>
      </c>
    </row>
    <row r="49" spans="1:36">
      <c r="A49" s="120" t="s">
        <v>406</v>
      </c>
      <c r="B49" s="120" t="s">
        <v>407</v>
      </c>
      <c r="C49" s="120" t="s">
        <v>115</v>
      </c>
      <c r="D49" s="120" t="s">
        <v>121</v>
      </c>
      <c r="E49" s="120" t="s">
        <v>316</v>
      </c>
      <c r="F49" s="121">
        <v>2023</v>
      </c>
      <c r="G49" s="123">
        <f>'Parameters | Agora'!$B$4*7.22827069985961E-06</f>
        <v>0.42969178002385439</v>
      </c>
      <c r="H49" s="123">
        <f>'Parameters | Agora'!$B$4*2.59532051350803E-06</f>
        <v>0.15428142324599836</v>
      </c>
      <c r="I49" s="123">
        <f>'Parameters | Agora'!$B$4*1.27328538961634E-06</f>
        <v>7.5691723271132938E-2</v>
      </c>
      <c r="J49" s="123">
        <f>'Parameters | Agora'!$B$4*4.88936917779182E-08</f>
        <v>2.9065344014301254E-3</v>
      </c>
      <c r="K49" s="123">
        <f>'Parameters | Agora'!$B$4*3.06505541156953E-07</f>
        <v>1.8220528399616229E-2</v>
      </c>
      <c r="L49" s="123">
        <f>'Parameters | Agora'!$B$4*7.28231373129231E-06</f>
        <v>0.43290442207040264</v>
      </c>
      <c r="M49" s="123">
        <f>'Parameters | Agora'!$B$4*0.0000910830888832811</f>
        <v>5.4145253017555284</v>
      </c>
      <c r="N49" s="123">
        <f>'Parameters | Agora'!$B$4*0</f>
        <v>0</v>
      </c>
      <c r="O49" s="123">
        <f>'Parameters | Agora'!$B$4*0</f>
        <v>0</v>
      </c>
      <c r="P49" s="123">
        <f>'Parameters | Agora'!$B$4*0</f>
        <v>0</v>
      </c>
      <c r="Q49" s="123">
        <f>'Parameters | Agora'!$B$4*0.00000332</f>
        <v>0.19736071999999999</v>
      </c>
      <c r="R49" s="123">
        <f>'Parameters | Agora'!$B$4*0.000000228</f>
        <v>1.3553688E-2</v>
      </c>
      <c r="S49" s="123">
        <f>'Parameters | Agora'!$B$4*0.000000010795</f>
        <v>6.4171957000000001E-4</v>
      </c>
      <c r="T49" s="123">
        <f>'Parameters | Agora'!$B$4*2.21181742703648E-06</f>
        <v>0.1314836987676106</v>
      </c>
      <c r="U49" s="123">
        <f>'Parameters | Agora'!$B$4*2.00103041876591E-06</f>
        <v>0.11895325427395829</v>
      </c>
      <c r="V49" s="123">
        <f>'Parameters | Agora'!$B$4*2.00103041876591E-06</f>
        <v>0.11895325427395829</v>
      </c>
      <c r="W49" s="123">
        <f>'Parameters | Agora'!$B$4*3.88785344054027E-06</f>
        <v>0.23111733562635689</v>
      </c>
      <c r="X49" s="123">
        <f>'Parameters | Agora'!$B$4*0.000531</f>
        <v>31.565826000000001</v>
      </c>
      <c r="Y49" s="123">
        <f>'Parameters | Agora'!$B$4*0.00042615344355653</f>
        <v>25.333117605661485</v>
      </c>
      <c r="Z49" s="123">
        <f>'Parameters | Agora'!$B$4*0.000388214317111539</f>
        <v>23.077788295012549</v>
      </c>
      <c r="AA49" s="123">
        <f>'Parameters | Agora'!$B$4*0.00044644646467827</f>
        <v>26.539456539264439</v>
      </c>
      <c r="AB49" s="123">
        <f>'Parameters | Agora'!$B$4*0.00000091</f>
        <v>5.4095859999999996E-2</v>
      </c>
      <c r="AC49" s="123">
        <f>'Parameters | Agora'!$B$4*6.38843206488684E-06</f>
        <v>0.37976673252926307</v>
      </c>
      <c r="AD49" s="123">
        <f>'Parameters | Agora'!$B$4*0.00000287513622366</f>
        <v>0.17091534795169236</v>
      </c>
      <c r="AE49" s="123">
        <f>'Parameters | Agora'!$B$4*0.00000287513622366</f>
        <v>0.17091534795169236</v>
      </c>
      <c r="AF49" s="123">
        <f>'Parameters | Agora'!$B$4*0.000281365323992451</f>
        <v>16.726043050055242</v>
      </c>
      <c r="AG49" s="123">
        <f>'Parameters | Agora'!$B$4*1.86516928929294E-06</f>
        <v>0.11087685357130811</v>
      </c>
      <c r="AH49" s="123">
        <f>'Parameters | Agora'!$B$4*7.58264861729965E-08</f>
        <v>4.50758129703995E-3</v>
      </c>
      <c r="AI49" s="123">
        <f>'Parameters | Agora'!$B$4*5.59226411474614E-08</f>
        <v>3.3243773256519905E-3</v>
      </c>
      <c r="AJ49" s="123">
        <f>'Parameters | Agora'!$B$4*4.11200215251031E-09</f>
        <v>2.4444207995812789E-4</v>
      </c>
    </row>
    <row r="50" spans="1:36">
      <c r="A50" s="120" t="s">
        <v>408</v>
      </c>
      <c r="B50" s="120" t="s">
        <v>409</v>
      </c>
      <c r="C50" s="120" t="s">
        <v>117</v>
      </c>
      <c r="D50" s="120" t="s">
        <v>325</v>
      </c>
      <c r="E50" s="120" t="s">
        <v>316</v>
      </c>
      <c r="F50" s="121">
        <v>2023</v>
      </c>
      <c r="G50" s="123">
        <f>'Parameters | Agora'!$B$4*0.000109476392771863</f>
        <v>6.507933644716168</v>
      </c>
      <c r="H50" s="123">
        <f>'Parameters | Agora'!$B$4*2.59532051350803E-06</f>
        <v>0.15428142324599836</v>
      </c>
      <c r="I50" s="123">
        <f>'Parameters | Agora'!$B$4*7.95190700012925E-07</f>
        <v>4.7270906352968343E-2</v>
      </c>
      <c r="J50" s="123">
        <f>'Parameters | Agora'!$B$4*1.25062212908419E-07</f>
        <v>7.4344483085538758E-3</v>
      </c>
      <c r="K50" s="123">
        <f>'Parameters | Agora'!$B$4*1.91418481526657E-07</f>
        <v>1.1379063052833652E-2</v>
      </c>
      <c r="L50" s="123">
        <f>'Parameters | Agora'!$B$4*7.28231373129231E-06</f>
        <v>0.43290442207040264</v>
      </c>
      <c r="M50" s="123">
        <f>'Parameters | Agora'!$B$4*0</f>
        <v>0</v>
      </c>
      <c r="N50" s="123">
        <f>'Parameters | Agora'!$B$4*0</f>
        <v>0</v>
      </c>
      <c r="O50" s="123">
        <f>'Parameters | Agora'!$B$4*0</f>
        <v>0</v>
      </c>
      <c r="P50" s="123">
        <f>'Parameters | Agora'!$B$4*1.79832629462205E-08</f>
        <v>1.0690330491010239E-3</v>
      </c>
      <c r="Q50" s="123">
        <f>'Parameters | Agora'!$B$4*0.00000332</f>
        <v>0.19736071999999999</v>
      </c>
      <c r="R50" s="123">
        <f>'Parameters | Agora'!$B$4*0.000000228</f>
        <v>1.3553688E-2</v>
      </c>
      <c r="S50" s="123">
        <f>'Parameters | Agora'!$B$4*0.000000010795</f>
        <v>6.4171957000000001E-4</v>
      </c>
      <c r="T50" s="123">
        <f>'Parameters | Agora'!$B$4*7.55995771777281E-10</f>
        <v>4.4940924649072248E-5</v>
      </c>
      <c r="U50" s="123">
        <f>'Parameters | Agora'!$B$4*7.94928200342975E-08</f>
        <v>4.7255301797588488E-3</v>
      </c>
      <c r="V50" s="123">
        <f>'Parameters | Agora'!$B$4*7.94928200342975E-08</f>
        <v>4.7255301797588488E-3</v>
      </c>
      <c r="W50" s="123">
        <f>'Parameters | Agora'!$B$4*3.88785344054027E-06</f>
        <v>0.23111733562635689</v>
      </c>
      <c r="X50" s="123">
        <f>'Parameters | Agora'!$B$4*0.000531</f>
        <v>31.565826000000001</v>
      </c>
      <c r="Y50" s="123">
        <f>'Parameters | Agora'!$B$4*0.000943764475456243</f>
        <v>56.103023007971821</v>
      </c>
      <c r="Z50" s="123">
        <f>'Parameters | Agora'!$B$4*0.000935734447386795</f>
        <v>55.625669959355413</v>
      </c>
      <c r="AA50" s="123">
        <f>'Parameters | Agora'!$B$4*0.000978718715287956</f>
        <v>58.180912749007831</v>
      </c>
      <c r="AB50" s="123">
        <f>'Parameters | Agora'!$B$4*0.00000091</f>
        <v>5.4095859999999996E-2</v>
      </c>
      <c r="AC50" s="123">
        <f>'Parameters | Agora'!$B$4*0.0000967565448185963</f>
        <v>5.7517895632862759</v>
      </c>
      <c r="AD50" s="123">
        <f>'Parameters | Agora'!$B$4*3.18952944270487E-08</f>
        <v>1.8960476725103368E-3</v>
      </c>
      <c r="AE50" s="123">
        <f>'Parameters | Agora'!$B$4*3.18952944270487E-08</f>
        <v>1.8960476725103368E-3</v>
      </c>
      <c r="AF50" s="123">
        <f>'Parameters | Agora'!$B$4*0.000281365323992451</f>
        <v>16.726043050055242</v>
      </c>
      <c r="AG50" s="123">
        <f>'Parameters | Agora'!$B$4*0</f>
        <v>0</v>
      </c>
      <c r="AH50" s="123">
        <f>'Parameters | Agora'!$B$4*7.85268480062081E-08</f>
        <v>4.6681070065770474E-3</v>
      </c>
      <c r="AI50" s="123">
        <f>-'Parameters | Agora'!$B$4*3.17548293642136E-10</f>
        <v>-1.8876975863850414E-5</v>
      </c>
      <c r="AJ50" s="123">
        <f>'Parameters | Agora'!$B$4*1.28352032173151E-09</f>
        <v>7.6300149045651348E-5</v>
      </c>
    </row>
    <row r="51" spans="1:36">
      <c r="A51" s="120" t="s">
        <v>410</v>
      </c>
      <c r="B51" s="120" t="s">
        <v>411</v>
      </c>
      <c r="C51" s="120" t="s">
        <v>116</v>
      </c>
      <c r="D51" s="120" t="s">
        <v>322</v>
      </c>
      <c r="E51" s="120" t="s">
        <v>316</v>
      </c>
      <c r="F51" s="121">
        <v>2023</v>
      </c>
      <c r="G51" s="123">
        <f>'Parameters | Agora'!$B$4*0.000048258156985352</f>
        <v>2.8687544001512353</v>
      </c>
      <c r="H51" s="123">
        <f>'Parameters | Agora'!$B$4*2.59532051350803E-06</f>
        <v>0.15428142324599836</v>
      </c>
      <c r="I51" s="123">
        <f>'Parameters | Agora'!$B$4*9.4260365866935E-07</f>
        <v>5.6034017093258184E-2</v>
      </c>
      <c r="J51" s="123">
        <f>'Parameters | Agora'!$B$4*8.63343994036925E-08</f>
        <v>5.1322347069519044E-3</v>
      </c>
      <c r="K51" s="123">
        <f>'Parameters | Agora'!$B$4*2.26903761602123E-07</f>
        <v>1.3488521012199804E-2</v>
      </c>
      <c r="L51" s="123">
        <f>'Parameters | Agora'!$B$4*7.28231373129231E-06</f>
        <v>0.43290442207040264</v>
      </c>
      <c r="M51" s="123">
        <f>'Parameters | Agora'!$B$4*0.000159424445456297</f>
        <v>9.4771455845950321</v>
      </c>
      <c r="N51" s="123">
        <f>'Parameters | Agora'!$B$4*0.0000903274475250352</f>
        <v>5.3696054455732423</v>
      </c>
      <c r="O51" s="123">
        <f>'Parameters | Agora'!$B$4*0.0000736721680915777</f>
        <v>4.3795157043719275</v>
      </c>
      <c r="P51" s="123">
        <f>'Parameters | Agora'!$B$4*0.000104143689462216</f>
        <v>6.1909257637708928</v>
      </c>
      <c r="Q51" s="123">
        <f>'Parameters | Agora'!$B$4*0.00000332</f>
        <v>0.19736071999999999</v>
      </c>
      <c r="R51" s="123">
        <f>'Parameters | Agora'!$B$4*0.000000228</f>
        <v>1.3553688E-2</v>
      </c>
      <c r="S51" s="123">
        <f>'Parameters | Agora'!$B$4*0.000000010795</f>
        <v>6.4171957000000001E-4</v>
      </c>
      <c r="T51" s="123">
        <f>'Parameters | Agora'!$B$4*2.96057995946066E-06</f>
        <v>0.1759946362700984</v>
      </c>
      <c r="U51" s="123">
        <f>'Parameters | Agora'!$B$4*9.27506193279019E-06</f>
        <v>0.5513653316566457</v>
      </c>
      <c r="V51" s="123">
        <f>'Parameters | Agora'!$B$4*9.27506193279019E-06</f>
        <v>0.5513653316566457</v>
      </c>
      <c r="W51" s="123">
        <f>'Parameters | Agora'!$B$4*3.88785344054027E-06</f>
        <v>0.23111733562635689</v>
      </c>
      <c r="X51" s="123">
        <f>'Parameters | Agora'!$B$4*0.000531</f>
        <v>31.565826000000001</v>
      </c>
      <c r="Y51" s="123">
        <f>'Parameters | Agora'!$B$4*0.000669148936170213</f>
        <v>39.778227659574483</v>
      </c>
      <c r="Z51" s="123">
        <f>'Parameters | Agora'!$B$4*0.000640657193145934</f>
        <v>38.084507503753194</v>
      </c>
      <c r="AA51" s="123">
        <f>'Parameters | Agora'!$B$4*0.000682173732981312</f>
        <v>40.552499730807078</v>
      </c>
      <c r="AB51" s="123">
        <f>'Parameters | Agora'!$B$4*0.00000091</f>
        <v>5.4095859999999996E-2</v>
      </c>
      <c r="AC51" s="123">
        <f>'Parameters | Agora'!$B$4*0.0000426511361124803</f>
        <v>2.5354394373425038</v>
      </c>
      <c r="AD51" s="123">
        <f>'Parameters | Agora'!$B$4*2.12287205293362E-06</f>
        <v>0.12619625205869198</v>
      </c>
      <c r="AE51" s="123">
        <f>'Parameters | Agora'!$B$4*2.12287205293362E-06</f>
        <v>0.12619625205869198</v>
      </c>
      <c r="AF51" s="123">
        <f>'Parameters | Agora'!$B$4*0.000281365323992451</f>
        <v>16.726043050055242</v>
      </c>
      <c r="AG51" s="123">
        <f>'Parameters | Agora'!$B$4*1.83681146711719E-06</f>
        <v>0.10919109447424848</v>
      </c>
      <c r="AH51" s="123">
        <f>'Parameters | Agora'!$B$4*7.03326069750159E-06</f>
        <v>0.4180992154236795</v>
      </c>
      <c r="AI51" s="123">
        <f>'Parameters | Agora'!$B$4*3.82711202083102E-07</f>
        <v>2.2750650119032084E-2</v>
      </c>
      <c r="AJ51" s="123">
        <f>'Parameters | Agora'!$B$4*2.22785660883096E-08</f>
        <v>1.3243716396856525E-3</v>
      </c>
    </row>
    <row r="52" spans="1:36">
      <c r="A52" s="120" t="s">
        <v>412</v>
      </c>
      <c r="B52" s="120" t="s">
        <v>413</v>
      </c>
      <c r="C52" s="120" t="s">
        <v>116</v>
      </c>
      <c r="D52" s="120" t="s">
        <v>322</v>
      </c>
      <c r="E52" s="120" t="s">
        <v>316</v>
      </c>
      <c r="F52" s="121">
        <v>2023</v>
      </c>
      <c r="G52" s="123">
        <f>'Parameters | Agora'!$B$4*0.0000616003164254574</f>
        <v>3.6618924102277406</v>
      </c>
      <c r="H52" s="123">
        <f>'Parameters | Agora'!$B$4*2.59532051350803E-06</f>
        <v>0.15428142324599836</v>
      </c>
      <c r="I52" s="123">
        <f>'Parameters | Agora'!$B$4*6.64393300682295E-07</f>
        <v>3.9495524152359705E-2</v>
      </c>
      <c r="J52" s="123">
        <f>'Parameters | Agora'!$B$4*8.63343994036925E-08</f>
        <v>5.1322347069519044E-3</v>
      </c>
      <c r="K52" s="123">
        <f>'Parameters | Agora'!$B$4*1.59932902574215E-07</f>
        <v>9.5073713264267855E-3</v>
      </c>
      <c r="L52" s="123">
        <f>'Parameters | Agora'!$B$4*7.28231373129231E-06</f>
        <v>0.43290442207040264</v>
      </c>
      <c r="M52" s="123">
        <f>'Parameters | Agora'!$B$4*0.0000472886745210504</f>
        <v>2.8111225455783622</v>
      </c>
      <c r="N52" s="123">
        <f>'Parameters | Agora'!$B$4*0.0000674976178453254</f>
        <v>4.0124633904332141</v>
      </c>
      <c r="O52" s="123">
        <f>'Parameters | Agora'!$B$4*0.0000932103842104234</f>
        <v>5.5409844997728293</v>
      </c>
      <c r="P52" s="123">
        <f>'Parameters | Agora'!$B$4*0.000114010996497674</f>
        <v>6.7774976978007286</v>
      </c>
      <c r="Q52" s="123">
        <f>'Parameters | Agora'!$B$4*0.00000332</f>
        <v>0.19736071999999999</v>
      </c>
      <c r="R52" s="123">
        <f>'Parameters | Agora'!$B$4*0.000000228</f>
        <v>1.3553688E-2</v>
      </c>
      <c r="S52" s="123">
        <f>'Parameters | Agora'!$B$4*0.000000010795</f>
        <v>6.4171957000000001E-4</v>
      </c>
      <c r="T52" s="123">
        <f>'Parameters | Agora'!$B$4*0.0000012020738292923</f>
        <v>7.1458480856110063E-2</v>
      </c>
      <c r="U52" s="123">
        <f>'Parameters | Agora'!$B$4*3.63559294729115E-06</f>
        <v>0.2161214583446697</v>
      </c>
      <c r="V52" s="123">
        <f>'Parameters | Agora'!$B$4*3.63559294729115E-06</f>
        <v>0.2161214583446697</v>
      </c>
      <c r="W52" s="123">
        <f>'Parameters | Agora'!$B$4*3.88785344054027E-06</f>
        <v>0.23111733562635689</v>
      </c>
      <c r="X52" s="123">
        <f>'Parameters | Agora'!$B$4*0.000531</f>
        <v>31.565826000000001</v>
      </c>
      <c r="Y52" s="123">
        <f>'Parameters | Agora'!$B$4*0.000434180306363246</f>
        <v>25.810282492069522</v>
      </c>
      <c r="Z52" s="123">
        <f>'Parameters | Agora'!$B$4*0.000406150220708702</f>
        <v>24.144006020249499</v>
      </c>
      <c r="AA52" s="123">
        <f>'Parameters | Agora'!$B$4*0.00044390502995768</f>
        <v>26.388378410864245</v>
      </c>
      <c r="AB52" s="123">
        <f>'Parameters | Agora'!$B$4*0.00000091</f>
        <v>5.4095859999999996E-2</v>
      </c>
      <c r="AC52" s="123">
        <f>'Parameters | Agora'!$B$4*0.0000544430961429282</f>
        <v>3.2364242933125098</v>
      </c>
      <c r="AD52" s="123">
        <f>'Parameters | Agora'!$B$4*1.00689790031504E-06</f>
        <v>5.9856052582127867E-2</v>
      </c>
      <c r="AE52" s="123">
        <f>'Parameters | Agora'!$B$4*1.00689790031504E-06</f>
        <v>5.9856052582127867E-2</v>
      </c>
      <c r="AF52" s="123">
        <f>'Parameters | Agora'!$B$4*0.000281365323992451</f>
        <v>16.726043050055242</v>
      </c>
      <c r="AG52" s="123">
        <f>'Parameters | Agora'!$B$4*1.01555583058994E-06</f>
        <v>6.0370731905249574E-2</v>
      </c>
      <c r="AH52" s="123">
        <f>'Parameters | Agora'!$B$4*2.59641149492553E-06</f>
        <v>0.15434627772734305</v>
      </c>
      <c r="AI52" s="123">
        <f>'Parameters | Agora'!$B$4*1.66257498049305E-08</f>
        <v>9.883343229038985E-4</v>
      </c>
      <c r="AJ52" s="123">
        <f>'Parameters | Agora'!$B$4*6.99987197074241E-09</f>
        <v>4.161143891727533E-4</v>
      </c>
    </row>
    <row r="53" spans="1:36">
      <c r="A53" s="120" t="s">
        <v>414</v>
      </c>
      <c r="B53" s="120" t="s">
        <v>415</v>
      </c>
      <c r="C53" s="120" t="s">
        <v>116</v>
      </c>
      <c r="D53" s="120" t="s">
        <v>322</v>
      </c>
      <c r="E53" s="120" t="s">
        <v>316</v>
      </c>
      <c r="F53" s="121">
        <v>2023</v>
      </c>
      <c r="G53" s="123">
        <f>'Parameters | Agora'!$B$4*0.0000785720058422499</f>
        <v>4.6707914592983872</v>
      </c>
      <c r="H53" s="123">
        <f>'Parameters | Agora'!$B$4*2.59532051350803E-06</f>
        <v>0.15428142324599836</v>
      </c>
      <c r="I53" s="123">
        <f>'Parameters | Agora'!$B$4*2.52631109661748E-07</f>
        <v>1.5017908944952271E-2</v>
      </c>
      <c r="J53" s="123">
        <f>'Parameters | Agora'!$B$4*8.63343994036925E-08</f>
        <v>5.1322347069519044E-3</v>
      </c>
      <c r="K53" s="123">
        <f>'Parameters | Agora'!$B$4*6.08134167025094E-08</f>
        <v>3.6151143692973735E-3</v>
      </c>
      <c r="L53" s="123">
        <f>'Parameters | Agora'!$B$4*7.28231373129231E-06</f>
        <v>0.43290442207040264</v>
      </c>
      <c r="M53" s="123">
        <f>'Parameters | Agora'!$B$4*0.000122552024926192</f>
        <v>7.2852276737624093</v>
      </c>
      <c r="N53" s="123">
        <f>'Parameters | Agora'!$B$4*0.0000149894774737546</f>
        <v>0.89106447790481602</v>
      </c>
      <c r="O53" s="123">
        <f>'Parameters | Agora'!$B$4*0.000108432690506472</f>
        <v>6.4458897198477345</v>
      </c>
      <c r="P53" s="123">
        <f>'Parameters | Agora'!$B$4*0.000136053277713288</f>
        <v>8.0878231469441175</v>
      </c>
      <c r="Q53" s="123">
        <f>'Parameters | Agora'!$B$4*0.00000332</f>
        <v>0.19736071999999999</v>
      </c>
      <c r="R53" s="123">
        <f>'Parameters | Agora'!$B$4*0.000000228</f>
        <v>1.3553688E-2</v>
      </c>
      <c r="S53" s="123">
        <f>'Parameters | Agora'!$B$4*0.000000010795</f>
        <v>6.4171957000000001E-4</v>
      </c>
      <c r="T53" s="123">
        <f>'Parameters | Agora'!$B$4*4.51034334488205E-07</f>
        <v>2.6812187047985835E-2</v>
      </c>
      <c r="U53" s="123">
        <f>'Parameters | Agora'!$B$4*2.86455778129805E-06</f>
        <v>0.17028650186704386</v>
      </c>
      <c r="V53" s="123">
        <f>'Parameters | Agora'!$B$4*2.86455778129805E-06</f>
        <v>0.17028650186704386</v>
      </c>
      <c r="W53" s="123">
        <f>'Parameters | Agora'!$B$4*3.88785344054027E-06</f>
        <v>0.23111733562635689</v>
      </c>
      <c r="X53" s="123">
        <f>'Parameters | Agora'!$B$4*0.000531</f>
        <v>31.565826000000001</v>
      </c>
      <c r="Y53" s="123">
        <f>'Parameters | Agora'!$B$4*0.000355776505008762</f>
        <v>21.149490116750865</v>
      </c>
      <c r="Z53" s="123">
        <f>'Parameters | Agora'!$B$4*0.000348037559884705</f>
        <v>20.689440784906171</v>
      </c>
      <c r="AA53" s="123">
        <f>'Parameters | Agora'!$B$4*0.00036351545013282</f>
        <v>21.609539448595616</v>
      </c>
      <c r="AB53" s="123">
        <f>'Parameters | Agora'!$B$4*0.00000091</f>
        <v>5.4095859999999996E-2</v>
      </c>
      <c r="AC53" s="123">
        <f>'Parameters | Agora'!$B$4*0.0000694428781610039</f>
        <v>4.1281013351590383</v>
      </c>
      <c r="AD53" s="123">
        <f>'Parameters | Agora'!$B$4*4.56037902077068E-07</f>
        <v>2.7109629126873383E-2</v>
      </c>
      <c r="AE53" s="123">
        <f>'Parameters | Agora'!$B$4*4.56037902077068E-07</f>
        <v>2.7109629126873383E-2</v>
      </c>
      <c r="AF53" s="123">
        <f>'Parameters | Agora'!$B$4*0.000281365323992451</f>
        <v>16.726043050055242</v>
      </c>
      <c r="AG53" s="123">
        <f>'Parameters | Agora'!$B$4*2.78372103537364E-07</f>
        <v>1.6548108066882138E-2</v>
      </c>
      <c r="AH53" s="123">
        <f>'Parameters | Agora'!$B$4*2.56288915596936E-06</f>
        <v>0.15235350876575457</v>
      </c>
      <c r="AI53" s="123">
        <f>'Parameters | Agora'!$B$4*1.92103481092923E-08</f>
        <v>1.1419783537049901E-3</v>
      </c>
      <c r="AJ53" s="123">
        <f>'Parameters | Agora'!$B$4*4.08617368203477E-09</f>
        <v>2.4290668070223891E-4</v>
      </c>
    </row>
    <row r="54" spans="1:36">
      <c r="A54" s="120" t="s">
        <v>416</v>
      </c>
      <c r="B54" s="120" t="s">
        <v>417</v>
      </c>
      <c r="C54" s="120" t="s">
        <v>117</v>
      </c>
      <c r="D54" s="120" t="s">
        <v>325</v>
      </c>
      <c r="E54" s="120" t="s">
        <v>316</v>
      </c>
      <c r="F54" s="121">
        <v>2023</v>
      </c>
      <c r="G54" s="123">
        <f>'Parameters | Agora'!$B$4*0.000109776327326493</f>
        <v>6.5257635542507035</v>
      </c>
      <c r="H54" s="123">
        <f>'Parameters | Agora'!$B$4*2.59532051350803E-06</f>
        <v>0.15428142324599836</v>
      </c>
      <c r="I54" s="123">
        <f>'Parameters | Agora'!$B$4*7.97369299091831E-07</f>
        <v>4.7400415353812987E-2</v>
      </c>
      <c r="J54" s="123">
        <f>'Parameters | Agora'!$B$4*1.25062212908419E-07</f>
        <v>7.4344483085538758E-3</v>
      </c>
      <c r="K54" s="123">
        <f>'Parameters | Agora'!$B$4*1.91942914379723E-07</f>
        <v>1.1410238488217013E-2</v>
      </c>
      <c r="L54" s="123">
        <f>'Parameters | Agora'!$B$4*7.28231373129231E-06</f>
        <v>0.43290442207040264</v>
      </c>
      <c r="M54" s="123">
        <f>'Parameters | Agora'!$B$4*0</f>
        <v>0</v>
      </c>
      <c r="N54" s="123">
        <f>'Parameters | Agora'!$B$4*0</f>
        <v>0</v>
      </c>
      <c r="O54" s="123">
        <f>'Parameters | Agora'!$B$4*4.89167400059414E-06</f>
        <v>0.29079045263931924</v>
      </c>
      <c r="P54" s="123">
        <f>'Parameters | Agora'!$B$4*1.11284792164329E-06</f>
        <v>6.6154357550007023E-2</v>
      </c>
      <c r="Q54" s="123">
        <f>'Parameters | Agora'!$B$4*0.00000332</f>
        <v>0.19736071999999999</v>
      </c>
      <c r="R54" s="123">
        <f>'Parameters | Agora'!$B$4*0.000000228</f>
        <v>1.3553688E-2</v>
      </c>
      <c r="S54" s="123">
        <f>'Parameters | Agora'!$B$4*0.000000010795</f>
        <v>6.4171957000000001E-4</v>
      </c>
      <c r="T54" s="123">
        <f>'Parameters | Agora'!$B$4*1.09669850093014E-07</f>
        <v>6.5194339086293105E-3</v>
      </c>
      <c r="U54" s="123">
        <f>'Parameters | Agora'!$B$4*4.28842631658286E-09</f>
        <v>2.5492979081558466E-4</v>
      </c>
      <c r="V54" s="123">
        <f>'Parameters | Agora'!$B$4*4.28842631658286E-09</f>
        <v>2.5492979081558466E-4</v>
      </c>
      <c r="W54" s="123">
        <f>'Parameters | Agora'!$B$4*3.88785344054027E-06</f>
        <v>0.23111733562635689</v>
      </c>
      <c r="X54" s="123">
        <f>'Parameters | Agora'!$B$4*0.000531</f>
        <v>31.565826000000001</v>
      </c>
      <c r="Y54" s="123">
        <f>'Parameters | Agora'!$B$4*0.00152429313905304</f>
        <v>90.613129944147019</v>
      </c>
      <c r="Z54" s="123">
        <f>'Parameters | Agora'!$B$4*0.00112777419866923</f>
        <v>67.041665014091038</v>
      </c>
      <c r="AA54" s="123">
        <f>'Parameters | Agora'!$B$4*0.00154697894574572</f>
        <v>91.961710408800073</v>
      </c>
      <c r="AB54" s="123">
        <f>'Parameters | Agora'!$B$4*0.00000091</f>
        <v>5.4095859999999996E-2</v>
      </c>
      <c r="AC54" s="123">
        <f>'Parameters | Agora'!$B$4*0.0000970216305639608</f>
        <v>5.7675478505052142</v>
      </c>
      <c r="AD54" s="123">
        <f>'Parameters | Agora'!$B$4*6.65908749818097E-07</f>
        <v>3.9585611541686591E-2</v>
      </c>
      <c r="AE54" s="123">
        <f>'Parameters | Agora'!$B$4*6.65908749818097E-07</f>
        <v>3.9585611541686591E-2</v>
      </c>
      <c r="AF54" s="123">
        <f>'Parameters | Agora'!$B$4*0.000281365323992451</f>
        <v>16.726043050055242</v>
      </c>
      <c r="AG54" s="123">
        <f>'Parameters | Agora'!$B$4*0</f>
        <v>0</v>
      </c>
      <c r="AH54" s="123">
        <f>'Parameters | Agora'!$B$4*4.90306168117947E-10</f>
        <v>2.9146740469939479E-5</v>
      </c>
      <c r="AI54" s="123">
        <f>'Parameters | Agora'!$B$4*3.73054711587889E-09</f>
        <v>2.2176610385053649E-4</v>
      </c>
      <c r="AJ54" s="123">
        <f>'Parameters | Agora'!$B$4*6.75730325860167E-11</f>
        <v>4.0169464951083485E-6</v>
      </c>
    </row>
    <row r="55" spans="1:36">
      <c r="A55" s="120" t="s">
        <v>418</v>
      </c>
      <c r="B55" s="120" t="s">
        <v>419</v>
      </c>
      <c r="C55" s="120" t="s">
        <v>116</v>
      </c>
      <c r="D55" s="120" t="s">
        <v>322</v>
      </c>
      <c r="E55" s="120" t="s">
        <v>316</v>
      </c>
      <c r="F55" s="121">
        <v>2023</v>
      </c>
      <c r="G55" s="123">
        <f>'Parameters | Agora'!$B$4*0.0000821120241515114</f>
        <v>4.8812313877107467</v>
      </c>
      <c r="H55" s="123">
        <f>'Parameters | Agora'!$B$4*2.59532051350803E-06</f>
        <v>0.15428142324599836</v>
      </c>
      <c r="I55" s="123">
        <f>'Parameters | Agora'!$B$4*0.000001123362370841</f>
        <v>6.6779399497014086E-2</v>
      </c>
      <c r="J55" s="123">
        <f>'Parameters | Agora'!$B$4*8.63343994036925E-08</f>
        <v>5.1322347069519044E-3</v>
      </c>
      <c r="K55" s="123">
        <f>'Parameters | Agora'!$B$4*2.70416038853416E-07</f>
        <v>1.6075151845680168E-2</v>
      </c>
      <c r="L55" s="123">
        <f>'Parameters | Agora'!$B$4*7.28231373129231E-06</f>
        <v>0.43290442207040264</v>
      </c>
      <c r="M55" s="123">
        <f>'Parameters | Agora'!$B$4*0.0000500686842313273</f>
        <v>2.9763830028154827</v>
      </c>
      <c r="N55" s="123">
        <f>'Parameters | Agora'!$B$4*0.0000231348288704454</f>
        <v>1.3752730370324973</v>
      </c>
      <c r="O55" s="123">
        <f>'Parameters | Agora'!$B$4*0.0000786925702718219</f>
        <v>4.6779585323787245</v>
      </c>
      <c r="P55" s="123">
        <f>'Parameters | Agora'!$B$4*0.000127327507619071</f>
        <v>7.5691110179232934</v>
      </c>
      <c r="Q55" s="123">
        <f>'Parameters | Agora'!$B$4*0.00000332</f>
        <v>0.19736071999999999</v>
      </c>
      <c r="R55" s="123">
        <f>'Parameters | Agora'!$B$4*0.000000228</f>
        <v>1.3553688E-2</v>
      </c>
      <c r="S55" s="123">
        <f>'Parameters | Agora'!$B$4*0.000000010795</f>
        <v>6.4171957000000001E-4</v>
      </c>
      <c r="T55" s="123">
        <f>'Parameters | Agora'!$B$4*2.96444662977901E-06</f>
        <v>0.17622449435384302</v>
      </c>
      <c r="U55" s="123">
        <f>'Parameters | Agora'!$B$4*0.0000110986868730037</f>
        <v>0.659772539852578</v>
      </c>
      <c r="V55" s="123">
        <f>'Parameters | Agora'!$B$4*0.0000110986868730037</f>
        <v>0.659772539852578</v>
      </c>
      <c r="W55" s="123">
        <f>'Parameters | Agora'!$B$4*3.88785344054027E-06</f>
        <v>0.23111733562635689</v>
      </c>
      <c r="X55" s="123">
        <f>'Parameters | Agora'!$B$4*0.000531</f>
        <v>31.565826000000001</v>
      </c>
      <c r="Y55" s="123">
        <f>'Parameters | Agora'!$B$4*0.000497665494016359</f>
        <v>29.584222957296475</v>
      </c>
      <c r="Z55" s="123">
        <f>'Parameters | Agora'!$B$4*0.000458795909156391</f>
        <v>27.273581615710818</v>
      </c>
      <c r="AA55" s="123">
        <f>'Parameters | Agora'!$B$4*0.00051137095457392</f>
        <v>30.398957765601253</v>
      </c>
      <c r="AB55" s="123">
        <f>'Parameters | Agora'!$B$4*0.00000091</f>
        <v>5.4095859999999996E-2</v>
      </c>
      <c r="AC55" s="123">
        <f>'Parameters | Agora'!$B$4*0.0000725715886667701</f>
        <v>4.3140906598848154</v>
      </c>
      <c r="AD55" s="123">
        <f>'Parameters | Agora'!$B$4*3.88797699968871E-06</f>
        <v>0.23112468072349504</v>
      </c>
      <c r="AE55" s="123">
        <f>'Parameters | Agora'!$B$4*3.88797699968871E-06</f>
        <v>0.23112468072349504</v>
      </c>
      <c r="AF55" s="123">
        <f>'Parameters | Agora'!$B$4*0.000281365323992451</f>
        <v>16.726043050055242</v>
      </c>
      <c r="AG55" s="123">
        <f>'Parameters | Agora'!$B$4*1.59960541913852E-06</f>
        <v>9.5090143746108455E-2</v>
      </c>
      <c r="AH55" s="123">
        <f>'Parameters | Agora'!$B$4*9.01490880390231E-06</f>
        <v>0.53590026875677677</v>
      </c>
      <c r="AI55" s="123">
        <f>'Parameters | Agora'!$B$4*4.73955875832487E-07</f>
        <v>2.8174780994738025E-2</v>
      </c>
      <c r="AJ55" s="123">
        <f>'Parameters | Agora'!$B$4*1.02167741303625E-08</f>
        <v>6.0734635495352917E-4</v>
      </c>
    </row>
    <row r="56" spans="1:36">
      <c r="A56" s="120" t="s">
        <v>420</v>
      </c>
      <c r="B56" s="120" t="s">
        <v>421</v>
      </c>
      <c r="C56" s="120" t="s">
        <v>119</v>
      </c>
      <c r="D56" s="120" t="s">
        <v>322</v>
      </c>
      <c r="E56" s="120" t="s">
        <v>316</v>
      </c>
      <c r="F56" s="121">
        <v>2023</v>
      </c>
      <c r="G56" s="123">
        <f>'Parameters | Agora'!$B$4*0.000117124576952891</f>
        <v>6.9625876015415589</v>
      </c>
      <c r="H56" s="123">
        <f>'Parameters | Agora'!$B$4*2.59532051350803E-06</f>
        <v>0.15428142324599836</v>
      </c>
      <c r="I56" s="123">
        <f>'Parameters | Agora'!$B$4*2.38485012898338E-07</f>
        <v>1.4176980076754601E-2</v>
      </c>
      <c r="J56" s="123">
        <f>'Parameters | Agora'!$B$4*2.24299408328451E-07</f>
        <v>1.3333702627493097E-2</v>
      </c>
      <c r="K56" s="123">
        <f>'Parameters | Agora'!$B$4*5.74081651547523E-08</f>
        <v>3.4126857857894053E-3</v>
      </c>
      <c r="L56" s="123">
        <f>'Parameters | Agora'!$B$4*7.28231373129231E-06</f>
        <v>0.43290442207040264</v>
      </c>
      <c r="M56" s="123">
        <f>'Parameters | Agora'!$B$4*0.0000748912392804706</f>
        <v>4.4519846102668552</v>
      </c>
      <c r="N56" s="123">
        <f>'Parameters | Agora'!$B$4*0</f>
        <v>0</v>
      </c>
      <c r="O56" s="123">
        <f>'Parameters | Agora'!$B$4*0</f>
        <v>0</v>
      </c>
      <c r="P56" s="123">
        <f>'Parameters | Agora'!$B$4*0</f>
        <v>0</v>
      </c>
      <c r="Q56" s="123">
        <f>'Parameters | Agora'!$B$4*0.00000332</f>
        <v>0.19736071999999999</v>
      </c>
      <c r="R56" s="123">
        <f>'Parameters | Agora'!$B$4*0.000000228</f>
        <v>1.3553688E-2</v>
      </c>
      <c r="S56" s="123">
        <f>'Parameters | Agora'!$B$4*0.000000010795</f>
        <v>6.4171957000000001E-4</v>
      </c>
      <c r="T56" s="123">
        <f>'Parameters | Agora'!$B$4*5.39324635312944E-07</f>
        <v>3.2060692270813269E-2</v>
      </c>
      <c r="U56" s="123">
        <f>'Parameters | Agora'!$B$4*2.07251851469111E-06</f>
        <v>0.12320293562432773</v>
      </c>
      <c r="V56" s="123">
        <f>'Parameters | Agora'!$B$4*2.07251851469111E-06</f>
        <v>0.12320293562432773</v>
      </c>
      <c r="W56" s="123">
        <f>'Parameters | Agora'!$B$4*3.88785344054027E-06</f>
        <v>0.23111733562635689</v>
      </c>
      <c r="X56" s="123">
        <f>'Parameters | Agora'!$B$4*0.000531</f>
        <v>31.565826000000001</v>
      </c>
      <c r="Y56" s="123">
        <f>'Parameters | Agora'!$B$4*0.000926737796775331</f>
        <v>55.090855067106325</v>
      </c>
      <c r="Z56" s="123">
        <f>'Parameters | Agora'!$B$4*0.000918434341642557</f>
        <v>54.597247873283443</v>
      </c>
      <c r="AA56" s="123">
        <f>'Parameters | Agora'!$B$4*0.000976919547360361</f>
        <v>58.073959412384021</v>
      </c>
      <c r="AB56" s="123">
        <f>'Parameters | Agora'!$B$4*0.00000091</f>
        <v>5.4095859999999996E-2</v>
      </c>
      <c r="AC56" s="123">
        <f>'Parameters | Agora'!$B$4*0.000103516101438576</f>
        <v>6.1536181661175888</v>
      </c>
      <c r="AD56" s="123">
        <f>'Parameters | Agora'!$B$4*0</f>
        <v>0</v>
      </c>
      <c r="AE56" s="123">
        <f>'Parameters | Agora'!$B$4*0</f>
        <v>0</v>
      </c>
      <c r="AF56" s="123">
        <f>'Parameters | Agora'!$B$4*0.000281365323992451</f>
        <v>16.726043050055242</v>
      </c>
      <c r="AG56" s="123">
        <f>'Parameters | Agora'!$B$4*4.82435514011503E-07</f>
        <v>2.8678861565927808E-2</v>
      </c>
      <c r="AH56" s="123">
        <f>'Parameters | Agora'!$B$4*0.0000015862555180191</f>
        <v>9.4296545524163417E-2</v>
      </c>
      <c r="AI56" s="123">
        <f>'Parameters | Agora'!$B$4*0</f>
        <v>0</v>
      </c>
      <c r="AJ56" s="123">
        <f>'Parameters | Agora'!$B$4*3.82748266050887E-09</f>
        <v>2.2752853423661028E-4</v>
      </c>
    </row>
    <row r="57" spans="1:36">
      <c r="A57" s="120" t="s">
        <v>422</v>
      </c>
      <c r="B57" s="120" t="s">
        <v>423</v>
      </c>
      <c r="C57" s="120" t="s">
        <v>115</v>
      </c>
      <c r="D57" s="120" t="s">
        <v>121</v>
      </c>
      <c r="E57" s="120" t="s">
        <v>316</v>
      </c>
      <c r="F57" s="121">
        <v>2023</v>
      </c>
      <c r="G57" s="123">
        <f>'Parameters | Agora'!$B$4*0.0000202482732695875</f>
        <v>1.2036788527838986</v>
      </c>
      <c r="H57" s="123">
        <f>'Parameters | Agora'!$B$4*2.59532051350803E-06</f>
        <v>0.15428142324599836</v>
      </c>
      <c r="I57" s="123">
        <f>'Parameters | Agora'!$B$4*7.09328567741922E-07</f>
        <v>4.2166746037986293E-2</v>
      </c>
      <c r="J57" s="123">
        <f>'Parameters | Agora'!$B$4*4.88936917779182E-08</f>
        <v>2.9065344014301254E-3</v>
      </c>
      <c r="K57" s="123">
        <f>'Parameters | Agora'!$B$4*1.70749730018762E-07</f>
        <v>1.0150388450695326E-2</v>
      </c>
      <c r="L57" s="123">
        <f>'Parameters | Agora'!$B$4*7.28231373129231E-06</f>
        <v>0.43290442207040264</v>
      </c>
      <c r="M57" s="123">
        <f>'Parameters | Agora'!$B$4*0</f>
        <v>0</v>
      </c>
      <c r="N57" s="123">
        <f>'Parameters | Agora'!$B$4*0</f>
        <v>0</v>
      </c>
      <c r="O57" s="123">
        <f>'Parameters | Agora'!$B$4*0</f>
        <v>0</v>
      </c>
      <c r="P57" s="123">
        <f>'Parameters | Agora'!$B$4*0</f>
        <v>0</v>
      </c>
      <c r="Q57" s="123">
        <f>'Parameters | Agora'!$B$4*0.00000332</f>
        <v>0.19736071999999999</v>
      </c>
      <c r="R57" s="123">
        <f>'Parameters | Agora'!$B$4*0.000000228</f>
        <v>1.3553688E-2</v>
      </c>
      <c r="S57" s="123">
        <f>'Parameters | Agora'!$B$4*0.000000010795</f>
        <v>6.4171957000000001E-4</v>
      </c>
      <c r="T57" s="123">
        <f>'Parameters | Agora'!$B$4*1.37713783431118E-06</f>
        <v>8.1865335698462396E-2</v>
      </c>
      <c r="U57" s="123">
        <f>'Parameters | Agora'!$B$4*1.13672418083698E-06</f>
        <v>6.7573705654035116E-2</v>
      </c>
      <c r="V57" s="123">
        <f>'Parameters | Agora'!$B$4*1.13672418083698E-06</f>
        <v>6.7573705654035116E-2</v>
      </c>
      <c r="W57" s="123">
        <f>'Parameters | Agora'!$B$4*3.88785344054027E-06</f>
        <v>0.23111733562635689</v>
      </c>
      <c r="X57" s="123">
        <f>'Parameters | Agora'!$B$4*0.000531</f>
        <v>31.565826000000001</v>
      </c>
      <c r="Y57" s="123">
        <f>'Parameters | Agora'!$B$4*0.000437261324410268</f>
        <v>25.993436690892793</v>
      </c>
      <c r="Z57" s="123">
        <f>'Parameters | Agora'!$B$4*0.000398699695800858</f>
        <v>23.701102116577804</v>
      </c>
      <c r="AA57" s="123">
        <f>'Parameters | Agora'!$B$4*0.000455164937693208</f>
        <v>27.057734886110442</v>
      </c>
      <c r="AB57" s="123">
        <f>'Parameters | Agora'!$B$4*0.00000091</f>
        <v>5.4095859999999996E-2</v>
      </c>
      <c r="AC57" s="123">
        <f>'Parameters | Agora'!$B$4*0.0000178956660016256</f>
        <v>1.0638257611326354</v>
      </c>
      <c r="AD57" s="123">
        <f>'Parameters | Agora'!$B$4*0.0000044789252556959</f>
        <v>0.26625419075009843</v>
      </c>
      <c r="AE57" s="123">
        <f>'Parameters | Agora'!$B$4*0.0000044789252556959</f>
        <v>0.26625419075009843</v>
      </c>
      <c r="AF57" s="123">
        <f>'Parameters | Agora'!$B$4*0.000281365323992451</f>
        <v>16.726043050055242</v>
      </c>
      <c r="AG57" s="123">
        <f>'Parameters | Agora'!$B$4*1.03884305280998E-06</f>
        <v>6.1755064117342065E-2</v>
      </c>
      <c r="AH57" s="123">
        <f>'Parameters | Agora'!$B$4*1.69956827391937E-10</f>
        <v>1.0103253561141088E-5</v>
      </c>
      <c r="AI57" s="123">
        <f>'Parameters | Agora'!$B$4*9.4062826337975E-08</f>
        <v>5.5916587744872619E-3</v>
      </c>
      <c r="AJ57" s="123">
        <f>'Parameters | Agora'!$B$4*3.64834486164008E-09</f>
        <v>2.168795086450562E-4</v>
      </c>
    </row>
    <row r="58" spans="1:36">
      <c r="A58" s="120" t="s">
        <v>424</v>
      </c>
      <c r="B58" s="120" t="s">
        <v>425</v>
      </c>
      <c r="C58" s="120" t="s">
        <v>119</v>
      </c>
      <c r="D58" s="120" t="s">
        <v>319</v>
      </c>
      <c r="E58" s="120" t="s">
        <v>316</v>
      </c>
      <c r="F58" s="121">
        <v>2023</v>
      </c>
      <c r="G58" s="123">
        <f>'Parameters | Agora'!$B$4*0.000276384503391015</f>
        <v>16.429953188582278</v>
      </c>
      <c r="H58" s="123">
        <f>'Parameters | Agora'!$B$4*2.59532051350803E-06</f>
        <v>0.15428142324599836</v>
      </c>
      <c r="I58" s="123">
        <f>'Parameters | Agora'!$B$4*2.00754136265908E-06</f>
        <v>0.11934030384463166</v>
      </c>
      <c r="J58" s="123">
        <f>'Parameters | Agora'!$B$4*2.24299408328451E-07</f>
        <v>1.3333702627493097E-2</v>
      </c>
      <c r="K58" s="123">
        <f>'Parameters | Agora'!$B$4*4.83255801703806E-07</f>
        <v>2.872762438808445E-2</v>
      </c>
      <c r="L58" s="123">
        <f>'Parameters | Agora'!$B$4*7.28231373129231E-06</f>
        <v>0.43290442207040264</v>
      </c>
      <c r="M58" s="123">
        <f>'Parameters | Agora'!$B$4*0.000112972903296943</f>
        <v>6.715787209390073</v>
      </c>
      <c r="N58" s="123">
        <f>'Parameters | Agora'!$B$4*0.0000550373620356854</f>
        <v>3.2717510235733545</v>
      </c>
      <c r="O58" s="123">
        <f>'Parameters | Agora'!$B$4*0.000112786742250291</f>
        <v>6.7047206798107988</v>
      </c>
      <c r="P58" s="123">
        <f>'Parameters | Agora'!$B$4*0.0000645394015907236</f>
        <v>3.8366092669621557</v>
      </c>
      <c r="Q58" s="123">
        <f>'Parameters | Agora'!$B$4*0.00000332</f>
        <v>0.19736071999999999</v>
      </c>
      <c r="R58" s="123">
        <f>'Parameters | Agora'!$B$4*0.000000228</f>
        <v>1.3553688E-2</v>
      </c>
      <c r="S58" s="123">
        <f>'Parameters | Agora'!$B$4*0.000000010795</f>
        <v>6.4171957000000001E-4</v>
      </c>
      <c r="T58" s="123">
        <f>'Parameters | Agora'!$B$4*4.23630429315446E-07</f>
        <v>2.5183134501086002E-2</v>
      </c>
      <c r="U58" s="123">
        <f>'Parameters | Agora'!$B$4*2.75182994270195E-06</f>
        <v>0.16358528277386011</v>
      </c>
      <c r="V58" s="123">
        <f>'Parameters | Agora'!$B$4*2.75182994270195E-06</f>
        <v>0.16358528277386011</v>
      </c>
      <c r="W58" s="123">
        <f>'Parameters | Agora'!$B$4*3.88785344054027E-06</f>
        <v>0.23111733562635689</v>
      </c>
      <c r="X58" s="123">
        <f>'Parameters | Agora'!$B$4*0.000531</f>
        <v>31.565826000000001</v>
      </c>
      <c r="Y58" s="123">
        <f>'Parameters | Agora'!$B$4*0.000589771717737862</f>
        <v>35.059569532644943</v>
      </c>
      <c r="Z58" s="123">
        <f>'Parameters | Agora'!$B$4*0.000564611731614182</f>
        <v>33.563908997536664</v>
      </c>
      <c r="AA58" s="123">
        <f>'Parameters | Agora'!$B$4*0.000620612991050759</f>
        <v>36.892959866003423</v>
      </c>
      <c r="AB58" s="123">
        <f>'Parameters | Agora'!$B$4*0.00000091</f>
        <v>5.4095859999999996E-2</v>
      </c>
      <c r="AC58" s="123">
        <f>'Parameters | Agora'!$B$4*0.000244271928517464</f>
        <v>14.520989062649164</v>
      </c>
      <c r="AD58" s="123">
        <f>'Parameters | Agora'!$B$4*1.28915846688171E-06</f>
        <v>7.6635314222250131E-2</v>
      </c>
      <c r="AE58" s="123">
        <f>'Parameters | Agora'!$B$4*1.28915846688171E-06</f>
        <v>7.6635314222250131E-2</v>
      </c>
      <c r="AF58" s="123">
        <f>'Parameters | Agora'!$B$4*0.000281365323992451</f>
        <v>16.726043050055242</v>
      </c>
      <c r="AG58" s="123">
        <f>'Parameters | Agora'!$B$4*2.93857920599781E-08</f>
        <v>1.7468677947974581E-3</v>
      </c>
      <c r="AH58" s="123">
        <f>'Parameters | Agora'!$B$4*2.70621132774714E-06</f>
        <v>0.16087343858925648</v>
      </c>
      <c r="AI58" s="123">
        <f>'Parameters | Agora'!$B$4*3.93689391052868E-09</f>
        <v>2.3403259540528791E-4</v>
      </c>
      <c r="AJ58" s="123">
        <f>'Parameters | Agora'!$B$4*1.22959289842998E-08</f>
        <v>7.3094379440068592E-4</v>
      </c>
    </row>
    <row r="59" spans="1:36">
      <c r="A59" s="120" t="s">
        <v>426</v>
      </c>
      <c r="B59" s="120" t="s">
        <v>427</v>
      </c>
      <c r="C59" s="120" t="s">
        <v>114</v>
      </c>
      <c r="D59" s="120" t="s">
        <v>322</v>
      </c>
      <c r="E59" s="120" t="s">
        <v>316</v>
      </c>
      <c r="F59" s="121">
        <v>2023</v>
      </c>
      <c r="G59" s="123">
        <f>'Parameters | Agora'!$B$4*0.0000762463404636604</f>
        <v>4.5325399552027559</v>
      </c>
      <c r="H59" s="123">
        <f>'Parameters | Agora'!$B$4*2.59532051350803E-06</f>
        <v>0.15428142324599836</v>
      </c>
      <c r="I59" s="123">
        <f>'Parameters | Agora'!$B$4*2.90647959957128E-07</f>
        <v>1.7277858627611432E-2</v>
      </c>
      <c r="J59" s="123">
        <f>'Parameters | Agora'!$B$4*8.62473484142803E-08</f>
        <v>5.1270598738353068E-3</v>
      </c>
      <c r="K59" s="123">
        <f>'Parameters | Agora'!$B$4*0.0000000699648413304</f>
        <v>4.1591299577269578E-3</v>
      </c>
      <c r="L59" s="123">
        <f>'Parameters | Agora'!$B$4*7.28231373129231E-06</f>
        <v>0.43290442207040264</v>
      </c>
      <c r="M59" s="123">
        <f>'Parameters | Agora'!$B$4*0</f>
        <v>0</v>
      </c>
      <c r="N59" s="123">
        <f>'Parameters | Agora'!$B$4*0</f>
        <v>0</v>
      </c>
      <c r="O59" s="123">
        <f>'Parameters | Agora'!$B$4*0.000095864002766401</f>
        <v>5.6987315084514742</v>
      </c>
      <c r="P59" s="123">
        <f>'Parameters | Agora'!$B$4*0.00014438605951522</f>
        <v>8.5831736939417684</v>
      </c>
      <c r="Q59" s="123">
        <f>'Parameters | Agora'!$B$4*0.00000332</f>
        <v>0.19736071999999999</v>
      </c>
      <c r="R59" s="123">
        <f>'Parameters | Agora'!$B$4*0.000000228</f>
        <v>1.3553688E-2</v>
      </c>
      <c r="S59" s="123">
        <f>'Parameters | Agora'!$B$4*0.000000010795</f>
        <v>6.4171957000000001E-4</v>
      </c>
      <c r="T59" s="123">
        <f>'Parameters | Agora'!$B$4*8.79255534642461E-07</f>
        <v>5.2268224512355736E-2</v>
      </c>
      <c r="U59" s="123">
        <f>'Parameters | Agora'!$B$4*3.36374072189244E-06</f>
        <v>0.199960930953618</v>
      </c>
      <c r="V59" s="123">
        <f>'Parameters | Agora'!$B$4*3.36374072189244E-06</f>
        <v>0.199960930953618</v>
      </c>
      <c r="W59" s="123">
        <f>'Parameters | Agora'!$B$4*3.88785344054027E-06</f>
        <v>0.23111733562635689</v>
      </c>
      <c r="X59" s="123">
        <f>'Parameters | Agora'!$B$4*0.000531</f>
        <v>31.565826000000001</v>
      </c>
      <c r="Y59" s="123">
        <f>'Parameters | Agora'!$B$4*0.000633960002885942</f>
        <v>37.686386331557706</v>
      </c>
      <c r="Z59" s="123">
        <f>'Parameters | Agora'!$B$4*0.000622762339791489</f>
        <v>37.020730051244854</v>
      </c>
      <c r="AA59" s="123">
        <f>'Parameters | Agora'!$B$4*0.000701145981452659</f>
        <v>41.680324013434763</v>
      </c>
      <c r="AB59" s="123">
        <f>'Parameters | Agora'!$B$4*0.00000091</f>
        <v>5.4095859999999996E-2</v>
      </c>
      <c r="AC59" s="123">
        <f>'Parameters | Agora'!$B$4*0.0000673874272940259</f>
        <v>4.0059130029206633</v>
      </c>
      <c r="AD59" s="123">
        <f>'Parameters | Agora'!$B$4*5.05532150780148E-07</f>
        <v>3.0051864235276674E-2</v>
      </c>
      <c r="AE59" s="123">
        <f>'Parameters | Agora'!$B$4*5.05532150780148E-07</f>
        <v>3.0051864235276674E-2</v>
      </c>
      <c r="AF59" s="123">
        <f>'Parameters | Agora'!$B$4*0.000281365323992451</f>
        <v>16.726043050055242</v>
      </c>
      <c r="AG59" s="123">
        <f>'Parameters | Agora'!$B$4*6.00831853298522E-07</f>
        <v>3.5717050351183936E-2</v>
      </c>
      <c r="AH59" s="123">
        <f>'Parameters | Agora'!$B$4*2.66892965874612E-06</f>
        <v>0.15865719249382185</v>
      </c>
      <c r="AI59" s="123">
        <f>'Parameters | Agora'!$B$4*8.86091151852126E-08</f>
        <v>5.2674574613001479E-3</v>
      </c>
      <c r="AJ59" s="123">
        <f>'Parameters | Agora'!$B$4*5.37009466257821E-09</f>
        <v>3.1923064731162427E-4</v>
      </c>
    </row>
    <row r="60" spans="1:36">
      <c r="A60" s="120" t="s">
        <v>428</v>
      </c>
      <c r="B60" s="120" t="s">
        <v>429</v>
      </c>
      <c r="C60" s="120" t="s">
        <v>115</v>
      </c>
      <c r="D60" s="120" t="s">
        <v>121</v>
      </c>
      <c r="E60" s="120" t="s">
        <v>316</v>
      </c>
      <c r="F60" s="121">
        <v>2023</v>
      </c>
      <c r="G60" s="123">
        <f>'Parameters | Agora'!$B$4*0.0000167641855033512</f>
        <v>0.99656377143221542</v>
      </c>
      <c r="H60" s="123">
        <f>'Parameters | Agora'!$B$4*2.59532051350803E-06</f>
        <v>0.15428142324599836</v>
      </c>
      <c r="I60" s="123">
        <f>'Parameters | Agora'!$B$4*1.44328299254931E-06</f>
        <v>8.5797400775086283E-2</v>
      </c>
      <c r="J60" s="123">
        <f>'Parameters | Agora'!$B$4*4.88936917779182E-08</f>
        <v>2.9065344014301254E-3</v>
      </c>
      <c r="K60" s="123">
        <f>'Parameters | Agora'!$B$4*3.47427401807576E-07</f>
        <v>2.0653169327853164E-2</v>
      </c>
      <c r="L60" s="123">
        <f>'Parameters | Agora'!$B$4*7.28231373129231E-06</f>
        <v>0.43290442207040264</v>
      </c>
      <c r="M60" s="123">
        <f>'Parameters | Agora'!$B$4*9.40765510460255E-06</f>
        <v>0.55924746534820313</v>
      </c>
      <c r="N60" s="123">
        <f>'Parameters | Agora'!$B$4*2.40717238181839E-06</f>
        <v>0.14309676940957602</v>
      </c>
      <c r="O60" s="123">
        <f>'Parameters | Agora'!$B$4*0</f>
        <v>0</v>
      </c>
      <c r="P60" s="123">
        <f>'Parameters | Agora'!$B$4*0</f>
        <v>0</v>
      </c>
      <c r="Q60" s="123">
        <f>'Parameters | Agora'!$B$4*0.00000332</f>
        <v>0.19736071999999999</v>
      </c>
      <c r="R60" s="123">
        <f>'Parameters | Agora'!$B$4*0.000000228</f>
        <v>1.3553688E-2</v>
      </c>
      <c r="S60" s="123">
        <f>'Parameters | Agora'!$B$4*0.000000010795</f>
        <v>6.4171957000000001E-4</v>
      </c>
      <c r="T60" s="123">
        <f>'Parameters | Agora'!$B$4*9.92214481854253E-07</f>
        <v>5.8983182088307919E-2</v>
      </c>
      <c r="U60" s="123">
        <f>'Parameters | Agora'!$B$4*5.99217944392921E-07</f>
        <v>3.5621109922381579E-2</v>
      </c>
      <c r="V60" s="123">
        <f>'Parameters | Agora'!$B$4*5.99217944392921E-07</f>
        <v>3.5621109922381579E-2</v>
      </c>
      <c r="W60" s="123">
        <f>'Parameters | Agora'!$B$4*3.88785344054027E-06</f>
        <v>0.23111733562635689</v>
      </c>
      <c r="X60" s="123">
        <f>'Parameters | Agora'!$B$4*0.000531</f>
        <v>31.565826000000001</v>
      </c>
      <c r="Y60" s="123">
        <f>'Parameters | Agora'!$B$4*0.000260670342662528</f>
        <v>15.495809189916638</v>
      </c>
      <c r="Z60" s="123">
        <f>'Parameters | Agora'!$B$4*0.000241131980598243</f>
        <v>14.334331718643153</v>
      </c>
      <c r="AA60" s="123">
        <f>'Parameters | Agora'!$B$4*0.00029593470346148</f>
        <v>17.592134381971142</v>
      </c>
      <c r="AB60" s="123">
        <f>'Parameters | Agora'!$B$4*0.00000091</f>
        <v>5.4095859999999996E-2</v>
      </c>
      <c r="AC60" s="123">
        <f>'Parameters | Agora'!$B$4*0.000014816387578484</f>
        <v>0.88077497599055987</v>
      </c>
      <c r="AD60" s="123">
        <f>'Parameters | Agora'!$B$4*0.0000100855882419582</f>
        <v>0.5995478786314471</v>
      </c>
      <c r="AE60" s="123">
        <f>'Parameters | Agora'!$B$4*0.0000100855882419582</f>
        <v>0.5995478786314471</v>
      </c>
      <c r="AF60" s="123">
        <f>'Parameters | Agora'!$B$4*0.000281365323992451</f>
        <v>16.726043050055242</v>
      </c>
      <c r="AG60" s="123">
        <f>'Parameters | Agora'!$B$4*4.83675032792938E-07</f>
        <v>2.8752545999408994E-2</v>
      </c>
      <c r="AH60" s="123">
        <f>'Parameters | Agora'!$B$4*9.00953995267702E-12</f>
        <v>5.3558111202683813E-7</v>
      </c>
      <c r="AI60" s="123">
        <f>'Parameters | Agora'!$B$4*1.09735498848663E-07</f>
        <v>6.5233364645576209E-3</v>
      </c>
      <c r="AJ60" s="123">
        <f>'Parameters | Agora'!$B$4*5.79840321136703E-09</f>
        <v>3.4469187730292448E-4</v>
      </c>
    </row>
    <row r="61" spans="1:36">
      <c r="A61" s="120" t="s">
        <v>55</v>
      </c>
      <c r="B61" s="120" t="s">
        <v>56</v>
      </c>
      <c r="C61" s="120" t="s">
        <v>115</v>
      </c>
      <c r="D61" s="120" t="s">
        <v>121</v>
      </c>
      <c r="E61" s="120" t="s">
        <v>316</v>
      </c>
      <c r="F61" s="121">
        <v>2023</v>
      </c>
      <c r="G61" s="123">
        <f>'Parameters | Agora'!$B$4*0.0000118123595502572</f>
        <v>0.7021975258245895</v>
      </c>
      <c r="H61" s="123">
        <f>'Parameters | Agora'!$B$4*2.59532051350803E-06</f>
        <v>0.15428142324599836</v>
      </c>
      <c r="I61" s="123">
        <f>'Parameters | Agora'!$B$4*2.30219429028893E-06</f>
        <v>0.13685624178051575</v>
      </c>
      <c r="J61" s="123">
        <f>'Parameters | Agora'!$B$4*4.88936917779182E-08</f>
        <v>2.9065344014301254E-3</v>
      </c>
      <c r="K61" s="123">
        <f>'Parameters | Agora'!$B$4*5.54184719739911E-07</f>
        <v>3.2944064849658748E-2</v>
      </c>
      <c r="L61" s="123">
        <f>'Parameters | Agora'!$B$4*7.28231373129231E-06</f>
        <v>0.43290442207040264</v>
      </c>
      <c r="M61" s="123">
        <f>'Parameters | Agora'!$B$4*0.0000973863230821068</f>
        <v>5.789227361938921</v>
      </c>
      <c r="N61" s="123">
        <f>'Parameters | Agora'!$B$4*0.000208188854970895</f>
        <v>12.375994672599823</v>
      </c>
      <c r="O61" s="123">
        <f>'Parameters | Agora'!$B$4*0.0000197175432556255</f>
        <v>1.1721290763739134</v>
      </c>
      <c r="P61" s="123">
        <f>'Parameters | Agora'!$B$4*0.0000148177543372175</f>
        <v>0.88085622433023159</v>
      </c>
      <c r="Q61" s="123">
        <f>'Parameters | Agora'!$B$4*0.00000332</f>
        <v>0.19736071999999999</v>
      </c>
      <c r="R61" s="123">
        <f>'Parameters | Agora'!$B$4*0.000000228</f>
        <v>1.3553688E-2</v>
      </c>
      <c r="S61" s="123">
        <f>'Parameters | Agora'!$B$4*0.000000010795</f>
        <v>6.4171957000000001E-4</v>
      </c>
      <c r="T61" s="123">
        <f>'Parameters | Agora'!$B$4*5.54640952828363E-06</f>
        <v>0.32971186081834863</v>
      </c>
      <c r="U61" s="123">
        <f>'Parameters | Agora'!$B$4*4.32705922779536E-06</f>
        <v>0.25722636285552297</v>
      </c>
      <c r="V61" s="123">
        <f>'Parameters | Agora'!$B$4*4.32705922779536E-06</f>
        <v>0.25722636285552297</v>
      </c>
      <c r="W61" s="123">
        <f>'Parameters | Agora'!$B$4*3.88785344054027E-06</f>
        <v>0.23111733562635689</v>
      </c>
      <c r="X61" s="123">
        <f>'Parameters | Agora'!$B$4*0.000531</f>
        <v>31.565826000000001</v>
      </c>
      <c r="Y61" s="123">
        <f>'Parameters | Agora'!$B$4*0.000345398338955635</f>
        <v>20.532549657556679</v>
      </c>
      <c r="Z61" s="123">
        <f>'Parameters | Agora'!$B$4*0.000297187863346149</f>
        <v>17.666629724475172</v>
      </c>
      <c r="AA61" s="123">
        <f>'Parameters | Agora'!$B$4*0.000374456707816148</f>
        <v>22.259953452838733</v>
      </c>
      <c r="AB61" s="123">
        <f>'Parameters | Agora'!$B$4*0.00000091</f>
        <v>5.4095859999999996E-2</v>
      </c>
      <c r="AC61" s="123">
        <f>'Parameters | Agora'!$B$4*0.0000104399045976932</f>
        <v>0.62061056871446996</v>
      </c>
      <c r="AD61" s="123">
        <f>'Parameters | Agora'!$B$4*0.0000188378104334734</f>
        <v>1.1198324790282597</v>
      </c>
      <c r="AE61" s="123">
        <f>'Parameters | Agora'!$B$4*0.0000188378104334734</f>
        <v>1.1198324790282597</v>
      </c>
      <c r="AF61" s="123">
        <f>'Parameters | Agora'!$B$4*0.000281365323992451</f>
        <v>16.726043050055242</v>
      </c>
      <c r="AG61" s="123">
        <f>'Parameters | Agora'!$B$4*3.31625471979007E-06</f>
        <v>0.1971380780726405</v>
      </c>
      <c r="AH61" s="123">
        <f>'Parameters | Agora'!$B$4*3.78488991191465E-07</f>
        <v>2.2499656570367829E-2</v>
      </c>
      <c r="AI61" s="123">
        <f>'Parameters | Agora'!$B$4*6.21743085256315E-07</f>
        <v>3.69601394461469E-2</v>
      </c>
      <c r="AJ61" s="123">
        <f>'Parameters | Agora'!$B$4*1.05724315575055E-08</f>
        <v>6.2848876636747205E-4</v>
      </c>
    </row>
    <row r="62" spans="1:36">
      <c r="A62" s="120" t="s">
        <v>430</v>
      </c>
      <c r="B62" s="120" t="s">
        <v>431</v>
      </c>
      <c r="C62" s="120" t="s">
        <v>119</v>
      </c>
      <c r="D62" s="120" t="s">
        <v>322</v>
      </c>
      <c r="E62" s="120" t="s">
        <v>316</v>
      </c>
      <c r="F62" s="121">
        <v>2023</v>
      </c>
      <c r="G62" s="123">
        <f>'Parameters | Agora'!$B$4*0.0000644785793933077</f>
        <v>3.83299363061457</v>
      </c>
      <c r="H62" s="123">
        <f>'Parameters | Agora'!$B$4*2.59532051350803E-06</f>
        <v>0.15428142324599836</v>
      </c>
      <c r="I62" s="123">
        <f>'Parameters | Agora'!$B$4*0.0000001401670772204</f>
        <v>8.3323720724438992E-3</v>
      </c>
      <c r="J62" s="123">
        <f>'Parameters | Agora'!$B$4*2.24299408328451E-07</f>
        <v>1.3333702627493097E-2</v>
      </c>
      <c r="K62" s="123">
        <f>'Parameters | Agora'!$B$4*3.37410498904508E-08</f>
        <v>2.0057704517877383E-3</v>
      </c>
      <c r="L62" s="123">
        <f>'Parameters | Agora'!$B$4*7.28231373129231E-06</f>
        <v>0.43290442207040264</v>
      </c>
      <c r="M62" s="123">
        <f>'Parameters | Agora'!$B$4*0.000310495768077699</f>
        <v>18.457731429146893</v>
      </c>
      <c r="N62" s="123">
        <f>'Parameters | Agora'!$B$4*0.000167594299951741</f>
        <v>9.9628107549311959</v>
      </c>
      <c r="O62" s="123">
        <f>'Parameters | Agora'!$B$4*3.82490513366955E-09</f>
        <v>2.2737531057612004E-4</v>
      </c>
      <c r="P62" s="123">
        <f>'Parameters | Agora'!$B$4*1.07036939596105E-09</f>
        <v>6.3629179112300577E-5</v>
      </c>
      <c r="Q62" s="123">
        <f>'Parameters | Agora'!$B$4*0.00000332</f>
        <v>0.19736071999999999</v>
      </c>
      <c r="R62" s="123">
        <f>'Parameters | Agora'!$B$4*0.000000228</f>
        <v>1.3553688E-2</v>
      </c>
      <c r="S62" s="123">
        <f>'Parameters | Agora'!$B$4*0.000000010795</f>
        <v>6.4171957000000001E-4</v>
      </c>
      <c r="T62" s="123">
        <f>'Parameters | Agora'!$B$4*3.19189081872465E-07</f>
        <v>1.8974514160990556E-2</v>
      </c>
      <c r="U62" s="123">
        <f>'Parameters | Agora'!$B$4*7.67161926176535E-07</f>
        <v>4.5604707863490301E-2</v>
      </c>
      <c r="V62" s="123">
        <f>'Parameters | Agora'!$B$4*7.67161926176535E-07</f>
        <v>4.5604707863490301E-2</v>
      </c>
      <c r="W62" s="123">
        <f>'Parameters | Agora'!$B$4*3.88785344054027E-06</f>
        <v>0.23111733562635689</v>
      </c>
      <c r="X62" s="123">
        <f>'Parameters | Agora'!$B$4*0.000531</f>
        <v>31.565826000000001</v>
      </c>
      <c r="Y62" s="123">
        <f>'Parameters | Agora'!$B$4*0.00061693332420503</f>
        <v>36.674218390692211</v>
      </c>
      <c r="Z62" s="123">
        <f>'Parameters | Agora'!$B$4*0.000534096708212495</f>
        <v>31.749912916399978</v>
      </c>
      <c r="AA62" s="123">
        <f>'Parameters | Agora'!$B$4*0.000771342653732193</f>
        <v>45.853235393763946</v>
      </c>
      <c r="AB62" s="123">
        <f>'Parameters | Agora'!$B$4*0.00000091</f>
        <v>5.4095859999999996E-2</v>
      </c>
      <c r="AC62" s="123">
        <f>'Parameters | Agora'!$B$4*0.0000569869393660864</f>
        <v>3.3876455975563724</v>
      </c>
      <c r="AD62" s="123">
        <f>'Parameters | Agora'!$B$4*0</f>
        <v>0</v>
      </c>
      <c r="AE62" s="123">
        <f>'Parameters | Agora'!$B$4*0</f>
        <v>0</v>
      </c>
      <c r="AF62" s="123">
        <f>'Parameters | Agora'!$B$4*0.000281365323992451</f>
        <v>16.726043050055242</v>
      </c>
      <c r="AG62" s="123">
        <f>'Parameters | Agora'!$B$4*2.89397939035664E-07</f>
        <v>1.7203549883914079E-2</v>
      </c>
      <c r="AH62" s="123">
        <f>'Parameters | Agora'!$B$4*4.75865974590802E-07</f>
        <v>2.8288328725524815E-2</v>
      </c>
      <c r="AI62" s="123">
        <f>'Parameters | Agora'!$B$4*0</f>
        <v>0</v>
      </c>
      <c r="AJ62" s="123">
        <f>'Parameters | Agora'!$B$4*1.89801255006932E-09</f>
        <v>1.128292540514208E-4</v>
      </c>
    </row>
    <row r="63" spans="1:36">
      <c r="A63" s="120" t="s">
        <v>432</v>
      </c>
      <c r="B63" s="120" t="s">
        <v>433</v>
      </c>
      <c r="C63" s="120" t="s">
        <v>119</v>
      </c>
      <c r="D63" s="120" t="s">
        <v>319</v>
      </c>
      <c r="E63" s="120" t="s">
        <v>316</v>
      </c>
      <c r="F63" s="121">
        <v>2023</v>
      </c>
      <c r="G63" s="123">
        <f>'Parameters | Agora'!$B$4*0.000179619010647663</f>
        <v>10.677631706960975</v>
      </c>
      <c r="H63" s="123">
        <f>'Parameters | Agora'!$B$4*2.59532051350803E-06</f>
        <v>0.15428142324599836</v>
      </c>
      <c r="I63" s="123">
        <f>'Parameters | Agora'!$B$4*1.30467732080093E-06</f>
        <v>7.7557848012332092E-2</v>
      </c>
      <c r="J63" s="123">
        <f>'Parameters | Agora'!$B$4*2.24299408328451E-07</f>
        <v>1.3333702627493097E-2</v>
      </c>
      <c r="K63" s="123">
        <f>'Parameters | Agora'!$B$4*3.14062213788369E-07</f>
        <v>1.8669742360863384E-2</v>
      </c>
      <c r="L63" s="123">
        <f>'Parameters | Agora'!$B$4*7.28231373129231E-06</f>
        <v>0.43290442207040264</v>
      </c>
      <c r="M63" s="123">
        <f>'Parameters | Agora'!$B$4*0</f>
        <v>0</v>
      </c>
      <c r="N63" s="123">
        <f>'Parameters | Agora'!$B$4*0</f>
        <v>0</v>
      </c>
      <c r="O63" s="123">
        <f>'Parameters | Agora'!$B$4*0</f>
        <v>0</v>
      </c>
      <c r="P63" s="123">
        <f>'Parameters | Agora'!$B$4*0</f>
        <v>0</v>
      </c>
      <c r="Q63" s="123">
        <f>'Parameters | Agora'!$B$4*0.00000332</f>
        <v>0.19736071999999999</v>
      </c>
      <c r="R63" s="123">
        <f>'Parameters | Agora'!$B$4*0.000000228</f>
        <v>1.3553688E-2</v>
      </c>
      <c r="S63" s="123">
        <f>'Parameters | Agora'!$B$4*0.000000010795</f>
        <v>6.4171957000000001E-4</v>
      </c>
      <c r="T63" s="123">
        <f>'Parameters | Agora'!$B$4*1.97416050079944E-06</f>
        <v>0.1173559451305235</v>
      </c>
      <c r="U63" s="123">
        <f>'Parameters | Agora'!$B$4*1.80336641058973E-06</f>
        <v>0.10720291964391709</v>
      </c>
      <c r="V63" s="123">
        <f>'Parameters | Agora'!$B$4*1.80336641058973E-06</f>
        <v>0.10720291964391709</v>
      </c>
      <c r="W63" s="123">
        <f>'Parameters | Agora'!$B$4*3.88785344054027E-06</f>
        <v>0.23111733562635689</v>
      </c>
      <c r="X63" s="123">
        <f>'Parameters | Agora'!$B$4*0.000531</f>
        <v>31.565826000000001</v>
      </c>
      <c r="Y63" s="123">
        <f>'Parameters | Agora'!$B$4*0.000923494619883729</f>
        <v>54.898061173608149</v>
      </c>
      <c r="Z63" s="123">
        <f>'Parameters | Agora'!$B$4*0.00081295869095647</f>
        <v>48.327142342598314</v>
      </c>
      <c r="AA63" s="123">
        <f>'Parameters | Agora'!$B$4*0.000977817832818066</f>
        <v>58.127358889702748</v>
      </c>
      <c r="AB63" s="123">
        <f>'Parameters | Agora'!$B$4*0.00000091</f>
        <v>5.4095859999999996E-2</v>
      </c>
      <c r="AC63" s="123">
        <f>'Parameters | Agora'!$B$4*0.000158749429114085</f>
        <v>9.4370185631158972</v>
      </c>
      <c r="AD63" s="123">
        <f>'Parameters | Agora'!$B$4*2.23866622615977E-06</f>
        <v>0.13307975248029369</v>
      </c>
      <c r="AE63" s="123">
        <f>'Parameters | Agora'!$B$4*2.23866622615977E-06</f>
        <v>0.13307975248029369</v>
      </c>
      <c r="AF63" s="123">
        <f>'Parameters | Agora'!$B$4*0.000281365323992451</f>
        <v>16.726043050055242</v>
      </c>
      <c r="AG63" s="123">
        <f>'Parameters | Agora'!$B$4*1.83970869255034E-06</f>
        <v>0.10936332293734752</v>
      </c>
      <c r="AH63" s="123">
        <f>'Parameters | Agora'!$B$4*9.39443226489647E-14</f>
        <v>5.584614204190355E-9</v>
      </c>
      <c r="AI63" s="123">
        <f>-'Parameters | Agora'!$B$4*4.43586475912693E-08</f>
        <v>-2.636944164710595E-3</v>
      </c>
      <c r="AJ63" s="123">
        <f>'Parameters | Agora'!$B$4*8.01627168634207E-09</f>
        <v>4.7653528666629068E-4</v>
      </c>
    </row>
    <row r="64" spans="1:36">
      <c r="A64" s="120" t="s">
        <v>434</v>
      </c>
      <c r="B64" s="120" t="s">
        <v>435</v>
      </c>
      <c r="C64" s="120" t="s">
        <v>115</v>
      </c>
      <c r="D64" s="120" t="s">
        <v>322</v>
      </c>
      <c r="E64" s="120" t="s">
        <v>316</v>
      </c>
      <c r="F64" s="121">
        <v>2023</v>
      </c>
      <c r="G64" s="123">
        <f>'Parameters | Agora'!$B$4*0.000038720008860194</f>
        <v>2.3017496467030925</v>
      </c>
      <c r="H64" s="123">
        <f>'Parameters | Agora'!$B$4*2.59532051350803E-06</f>
        <v>0.15428142324599836</v>
      </c>
      <c r="I64" s="123">
        <f>'Parameters | Agora'!$B$4*1.71629070980532E-07</f>
        <v>1.0202661753508705E-2</v>
      </c>
      <c r="J64" s="123">
        <f>'Parameters | Agora'!$B$4*4.88936917779182E-08</f>
        <v>2.9065344014301254E-3</v>
      </c>
      <c r="K64" s="123">
        <f>'Parameters | Agora'!$B$4*4.13145880005769E-08</f>
        <v>2.4559869982822943E-3</v>
      </c>
      <c r="L64" s="123">
        <f>'Parameters | Agora'!$B$4*7.28231373129231E-06</f>
        <v>0.43290442207040264</v>
      </c>
      <c r="M64" s="123">
        <f>'Parameters | Agora'!$B$4*0</f>
        <v>0</v>
      </c>
      <c r="N64" s="123">
        <f>'Parameters | Agora'!$B$4*0</f>
        <v>0</v>
      </c>
      <c r="O64" s="123">
        <f>'Parameters | Agora'!$B$4*3.03750975929095E-06</f>
        <v>0.18056780515080981</v>
      </c>
      <c r="P64" s="123">
        <f>'Parameters | Agora'!$B$4*6.54982593734255E-06</f>
        <v>0.38936095267126525</v>
      </c>
      <c r="Q64" s="123">
        <f>'Parameters | Agora'!$B$4*0.00000332</f>
        <v>0.19736071999999999</v>
      </c>
      <c r="R64" s="123">
        <f>'Parameters | Agora'!$B$4*0.000000228</f>
        <v>1.3553688E-2</v>
      </c>
      <c r="S64" s="123">
        <f>'Parameters | Agora'!$B$4*0.000000010795</f>
        <v>6.4171957000000001E-4</v>
      </c>
      <c r="T64" s="123">
        <f>'Parameters | Agora'!$B$4*2.70267127113871E-07</f>
        <v>1.6066299638411174E-2</v>
      </c>
      <c r="U64" s="123">
        <f>'Parameters | Agora'!$B$4*2.38151937157001E-07</f>
        <v>1.4157180056235083E-2</v>
      </c>
      <c r="V64" s="123">
        <f>'Parameters | Agora'!$B$4*2.38151937157001E-07</f>
        <v>1.4157180056235083E-2</v>
      </c>
      <c r="W64" s="123">
        <f>'Parameters | Agora'!$B$4*3.88785344054027E-06</f>
        <v>0.23111733562635689</v>
      </c>
      <c r="X64" s="123">
        <f>'Parameters | Agora'!$B$4*0.000531</f>
        <v>31.565826000000001</v>
      </c>
      <c r="Y64" s="123">
        <f>'Parameters | Agora'!$B$4*0.00192482548516591</f>
        <v>114.4231757911727</v>
      </c>
      <c r="Z64" s="123">
        <f>'Parameters | Agora'!$B$4*0.0017097216927523</f>
        <v>101.63611574735322</v>
      </c>
      <c r="AA64" s="123">
        <f>'Parameters | Agora'!$B$4*0.00210559346095012</f>
        <v>125.16910887964083</v>
      </c>
      <c r="AB64" s="123">
        <f>'Parameters | Agora'!$B$4*0.00000091</f>
        <v>5.4095859999999996E-2</v>
      </c>
      <c r="AC64" s="123">
        <f>'Parameters | Agora'!$B$4*0.000034221206762493</f>
        <v>2.0343138572031592</v>
      </c>
      <c r="AD64" s="123">
        <f>'Parameters | Agora'!$B$4*3.13679649847151E-07</f>
        <v>1.8647000464813736E-2</v>
      </c>
      <c r="AE64" s="123">
        <f>'Parameters | Agora'!$B$4*3.13679649847151E-07</f>
        <v>1.8647000464813736E-2</v>
      </c>
      <c r="AF64" s="123">
        <f>'Parameters | Agora'!$B$4*0.000281365323992451</f>
        <v>16.726043050055242</v>
      </c>
      <c r="AG64" s="123">
        <f>'Parameters | Agora'!$B$4*1.91745900970922E-07</f>
        <v>1.139852682911743E-2</v>
      </c>
      <c r="AH64" s="123">
        <f>'Parameters | Agora'!$B$4*2.94221727817648E-08</f>
        <v>1.7490304831847903E-3</v>
      </c>
      <c r="AI64" s="123">
        <f>'Parameters | Agora'!$B$4*1.56553135182927E-08</f>
        <v>9.3064576740842795E-4</v>
      </c>
      <c r="AJ64" s="123">
        <f>'Parameters | Agora'!$B$4*1.32854988602219E-09</f>
        <v>7.8976976524475104E-5</v>
      </c>
    </row>
    <row r="65" spans="1:36">
      <c r="A65" s="120" t="s">
        <v>436</v>
      </c>
      <c r="B65" s="120" t="s">
        <v>437</v>
      </c>
      <c r="C65" s="120" t="s">
        <v>115</v>
      </c>
      <c r="D65" s="120" t="s">
        <v>121</v>
      </c>
      <c r="E65" s="120" t="s">
        <v>316</v>
      </c>
      <c r="F65" s="121">
        <v>2023</v>
      </c>
      <c r="G65" s="123">
        <f>'Parameters | Agora'!$B$4*3.06568737774494E-06</f>
        <v>0.1822428518574257</v>
      </c>
      <c r="H65" s="123">
        <f>'Parameters | Agora'!$B$4*2.59532051350803E-06</f>
        <v>0.15428142324599836</v>
      </c>
      <c r="I65" s="123">
        <f>'Parameters | Agora'!$B$4*2.14731781842577E-06</f>
        <v>0.1276494550341383</v>
      </c>
      <c r="J65" s="123">
        <f>'Parameters | Agora'!$B$4*4.88936917779182E-08</f>
        <v>2.9065344014301254E-3</v>
      </c>
      <c r="K65" s="123">
        <f>'Parameters | Agora'!$B$4*5.16902821111355E-07</f>
        <v>3.0727805103785609E-2</v>
      </c>
      <c r="L65" s="123">
        <f>'Parameters | Agora'!$B$4*7.28231373129231E-06</f>
        <v>0.43290442207040264</v>
      </c>
      <c r="M65" s="123">
        <f>'Parameters | Agora'!$B$4*0.0000470112835365193</f>
        <v>2.7946327611119259</v>
      </c>
      <c r="N65" s="123">
        <f>'Parameters | Agora'!$B$4*0.0000018700571335499</f>
        <v>0.11116741636100735</v>
      </c>
      <c r="O65" s="123">
        <f>'Parameters | Agora'!$B$4*6.64192195970032E-07</f>
        <v>3.9483569281634517E-2</v>
      </c>
      <c r="P65" s="123">
        <f>'Parameters | Agora'!$B$4*1.93405752499824E-07</f>
        <v>1.1497198363104538E-2</v>
      </c>
      <c r="Q65" s="123">
        <f>'Parameters | Agora'!$B$4*0.00000332</f>
        <v>0.19736071999999999</v>
      </c>
      <c r="R65" s="123">
        <f>'Parameters | Agora'!$B$4*0.000000228</f>
        <v>1.3553688E-2</v>
      </c>
      <c r="S65" s="123">
        <f>'Parameters | Agora'!$B$4*0.000000010795</f>
        <v>6.4171957000000001E-4</v>
      </c>
      <c r="T65" s="123">
        <f>'Parameters | Agora'!$B$4*4.04181873695548E-06</f>
        <v>0.24026995663705544</v>
      </c>
      <c r="U65" s="123">
        <f>'Parameters | Agora'!$B$4*3.69028802070928E-06</f>
        <v>0.21937286167908387</v>
      </c>
      <c r="V65" s="123">
        <f>'Parameters | Agora'!$B$4*3.69028802070928E-06</f>
        <v>0.21937286167908387</v>
      </c>
      <c r="W65" s="123">
        <f>'Parameters | Agora'!$B$4*3.88785344054027E-06</f>
        <v>0.23111733562635689</v>
      </c>
      <c r="X65" s="123">
        <f>'Parameters | Agora'!$B$4*0.000531</f>
        <v>31.565826000000001</v>
      </c>
      <c r="Y65" s="123">
        <f>'Parameters | Agora'!$B$4*0.000598690454189768</f>
        <v>35.589752739764947</v>
      </c>
      <c r="Z65" s="123">
        <f>'Parameters | Agora'!$B$4*0.000542336553096416</f>
        <v>32.239738735369549</v>
      </c>
      <c r="AA65" s="123">
        <f>'Parameters | Agora'!$B$4*0.000622124749693934</f>
        <v>36.982827870305606</v>
      </c>
      <c r="AB65" s="123">
        <f>'Parameters | Agora'!$B$4*0.00000091</f>
        <v>5.4095859999999996E-2</v>
      </c>
      <c r="AC65" s="123">
        <f>'Parameters | Agora'!$B$4*2.70949115744725E-06</f>
        <v>0.16106841134560923</v>
      </c>
      <c r="AD65" s="123">
        <f>'Parameters | Agora'!$B$4*6.02221845851484E-06</f>
        <v>0.35799679848487315</v>
      </c>
      <c r="AE65" s="123">
        <f>'Parameters | Agora'!$B$4*6.02221845851484E-06</f>
        <v>0.35799679848487315</v>
      </c>
      <c r="AF65" s="123">
        <f>'Parameters | Agora'!$B$4*0.000281365323992451</f>
        <v>16.726043050055242</v>
      </c>
      <c r="AG65" s="123">
        <f>'Parameters | Agora'!$B$4*3.13449328980572E-06</f>
        <v>0.18633308810579083</v>
      </c>
      <c r="AH65" s="123">
        <f>'Parameters | Agora'!$B$4*3.65774774015782E-07</f>
        <v>2.1743847216142177E-2</v>
      </c>
      <c r="AI65" s="123">
        <f>'Parameters | Agora'!$B$4*1.81156577581244E-07</f>
        <v>1.0769033910894631E-2</v>
      </c>
      <c r="AJ65" s="123">
        <f>'Parameters | Agora'!$B$4*8.86337930654259E-09</f>
        <v>5.2689244625673084E-4</v>
      </c>
    </row>
    <row r="66" spans="1:36">
      <c r="A66" s="120" t="s">
        <v>438</v>
      </c>
      <c r="B66" s="120" t="s">
        <v>439</v>
      </c>
      <c r="C66" s="120" t="s">
        <v>119</v>
      </c>
      <c r="D66" s="120" t="s">
        <v>325</v>
      </c>
      <c r="E66" s="120" t="s">
        <v>316</v>
      </c>
      <c r="F66" s="121">
        <v>2023</v>
      </c>
      <c r="G66" s="123">
        <f>'Parameters | Agora'!$B$4*0.0000974068528763412</f>
        <v>5.790447776086979</v>
      </c>
      <c r="H66" s="123">
        <f>'Parameters | Agora'!$B$4*2.59532051350803E-06</f>
        <v>0.15428142324599836</v>
      </c>
      <c r="I66" s="123">
        <f>'Parameters | Agora'!$B$4*7.07522613447871E-07</f>
        <v>4.2059389279022141E-2</v>
      </c>
      <c r="J66" s="123">
        <f>'Parameters | Agora'!$B$4*2.24299408328451E-07</f>
        <v>1.3333702627493097E-2</v>
      </c>
      <c r="K66" s="123">
        <f>'Parameters | Agora'!$B$4*1.70315000300886E-07</f>
        <v>1.0124545507886469E-2</v>
      </c>
      <c r="L66" s="123">
        <f>'Parameters | Agora'!$B$4*7.28231373129231E-06</f>
        <v>0.43290442207040264</v>
      </c>
      <c r="M66" s="123">
        <f>'Parameters | Agora'!$B$4*0.000449224774102029</f>
        <v>26.704615921269216</v>
      </c>
      <c r="N66" s="123">
        <f>'Parameters | Agora'!$B$4*0.000506109505469049</f>
        <v>30.086185662113088</v>
      </c>
      <c r="O66" s="123">
        <f>'Parameters | Agora'!$B$4*0.000752643344569005</f>
        <v>44.741636261249077</v>
      </c>
      <c r="P66" s="123">
        <f>'Parameters | Agora'!$B$4*0.000379734797812268</f>
        <v>22.573714790748085</v>
      </c>
      <c r="Q66" s="123">
        <f>'Parameters | Agora'!$B$4*0.00000332</f>
        <v>0.19736071999999999</v>
      </c>
      <c r="R66" s="123">
        <f>'Parameters | Agora'!$B$4*0.000000228</f>
        <v>1.3553688E-2</v>
      </c>
      <c r="S66" s="123">
        <f>'Parameters | Agora'!$B$4*0.000000010795</f>
        <v>6.4171957000000001E-4</v>
      </c>
      <c r="T66" s="123">
        <f>'Parameters | Agora'!$B$4*0.000001341432209688</f>
        <v>7.9742779137112849E-2</v>
      </c>
      <c r="U66" s="123">
        <f>'Parameters | Agora'!$B$4*1.98520113726408E-06</f>
        <v>0.11801226680580051</v>
      </c>
      <c r="V66" s="123">
        <f>'Parameters | Agora'!$B$4*1.98520113726408E-06</f>
        <v>0.11801226680580051</v>
      </c>
      <c r="W66" s="123">
        <f>'Parameters | Agora'!$B$4*3.88785344054027E-06</f>
        <v>0.23111733562635689</v>
      </c>
      <c r="X66" s="123">
        <f>'Parameters | Agora'!$B$4*0.000531</f>
        <v>31.565826000000001</v>
      </c>
      <c r="Y66" s="123">
        <f>'Parameters | Agora'!$B$4*0.00105565407821652</f>
        <v>62.754412333659239</v>
      </c>
      <c r="Z66" s="123">
        <f>'Parameters | Agora'!$B$4*0.000930461392137844</f>
        <v>55.312207917026271</v>
      </c>
      <c r="AA66" s="123">
        <f>'Parameters | Agora'!$B$4*0.00115608337584007</f>
        <v>68.724532360188803</v>
      </c>
      <c r="AB66" s="123">
        <f>'Parameters | Agora'!$B$4*0.00000091</f>
        <v>5.4095859999999996E-2</v>
      </c>
      <c r="AC66" s="123">
        <f>'Parameters | Agora'!$B$4*0.0000860893411569408</f>
        <v>5.1176669744155028</v>
      </c>
      <c r="AD66" s="123">
        <f>'Parameters | Agora'!$B$4*5.12440736046328E-07</f>
        <v>3.0462551995010013E-2</v>
      </c>
      <c r="AE66" s="123">
        <f>'Parameters | Agora'!$B$4*5.12440736046328E-07</f>
        <v>3.0462551995010013E-2</v>
      </c>
      <c r="AF66" s="123">
        <f>'Parameters | Agora'!$B$4*0.000281365323992451</f>
        <v>16.726043050055242</v>
      </c>
      <c r="AG66" s="123">
        <f>'Parameters | Agora'!$B$4*0.0000011789718097849</f>
        <v>7.0085158204473169E-2</v>
      </c>
      <c r="AH66" s="123">
        <f>'Parameters | Agora'!$B$4*7.9068513866286E-07</f>
        <v>4.7003068752952376E-2</v>
      </c>
      <c r="AI66" s="123">
        <f>'Parameters | Agora'!$B$4*9.67004725708118E-09</f>
        <v>5.7484562924444782E-4</v>
      </c>
      <c r="AJ66" s="123">
        <f>'Parameters | Agora'!$B$4*5.87414155924697E-09</f>
        <v>3.491942191309954E-4</v>
      </c>
    </row>
    <row r="67" spans="1:36">
      <c r="A67" s="120" t="s">
        <v>440</v>
      </c>
      <c r="B67" s="120" t="s">
        <v>441</v>
      </c>
      <c r="C67" s="120" t="s">
        <v>115</v>
      </c>
      <c r="D67" s="120" t="s">
        <v>121</v>
      </c>
      <c r="E67" s="120" t="s">
        <v>316</v>
      </c>
      <c r="F67" s="121">
        <v>2023</v>
      </c>
      <c r="G67" s="123">
        <f>'Parameters | Agora'!$B$4*0.0000124812685592222</f>
        <v>0.74196149077152285</v>
      </c>
      <c r="H67" s="123">
        <f>'Parameters | Agora'!$B$4*2.59532051350803E-06</f>
        <v>0.15428142324599836</v>
      </c>
      <c r="I67" s="123">
        <f>'Parameters | Agora'!$B$4*2.67092141994803E-06</f>
        <v>0.15877559473023059</v>
      </c>
      <c r="J67" s="123">
        <f>'Parameters | Agora'!$B$4*4.88936917779182E-08</f>
        <v>2.9065344014301254E-3</v>
      </c>
      <c r="K67" s="123">
        <f>'Parameters | Agora'!$B$4*6.42944796103833E-07</f>
        <v>3.8220496349188456E-2</v>
      </c>
      <c r="L67" s="123">
        <f>'Parameters | Agora'!$B$4*7.28231373129231E-06</f>
        <v>0.43290442207040264</v>
      </c>
      <c r="M67" s="123">
        <f>'Parameters | Agora'!$B$4*0.000184504458992334</f>
        <v>10.968052069258286</v>
      </c>
      <c r="N67" s="123">
        <f>'Parameters | Agora'!$B$4*0</f>
        <v>0</v>
      </c>
      <c r="O67" s="123">
        <f>'Parameters | Agora'!$B$4*0.0000552446692664338</f>
        <v>3.2840746092124236</v>
      </c>
      <c r="P67" s="123">
        <f>'Parameters | Agora'!$B$4*0.000230860252116544</f>
        <v>13.723718547320075</v>
      </c>
      <c r="Q67" s="123">
        <f>'Parameters | Agora'!$B$4*0.00000332</f>
        <v>0.19736071999999999</v>
      </c>
      <c r="R67" s="123">
        <f>'Parameters | Agora'!$B$4*0.000000228</f>
        <v>1.3553688E-2</v>
      </c>
      <c r="S67" s="123">
        <f>'Parameters | Agora'!$B$4*0.000000010795</f>
        <v>6.4171957000000001E-4</v>
      </c>
      <c r="T67" s="123">
        <f>'Parameters | Agora'!$B$4*4.49441261940169E-06</f>
        <v>0.26717485257295287</v>
      </c>
      <c r="U67" s="123">
        <f>'Parameters | Agora'!$B$4*6.71980216545637E-06</f>
        <v>0.39946535952771939</v>
      </c>
      <c r="V67" s="123">
        <f>'Parameters | Agora'!$B$4*6.71980216545637E-06</f>
        <v>0.39946535952771939</v>
      </c>
      <c r="W67" s="123">
        <f>'Parameters | Agora'!$B$4*3.88785344054027E-06</f>
        <v>0.23111733562635689</v>
      </c>
      <c r="X67" s="123">
        <f>'Parameters | Agora'!$B$4*0.000531</f>
        <v>31.565826000000001</v>
      </c>
      <c r="Y67" s="123">
        <f>'Parameters | Agora'!$B$4*0.000892684439413508</f>
        <v>53.066519185375398</v>
      </c>
      <c r="Z67" s="123">
        <f>'Parameters | Agora'!$B$4*0.000775450915222404</f>
        <v>46.097455106311024</v>
      </c>
      <c r="AA67" s="123">
        <f>'Parameters | Agora'!$B$4*0.00095130120150906</f>
        <v>56.551051224907582</v>
      </c>
      <c r="AB67" s="123">
        <f>'Parameters | Agora'!$B$4*0.00000091</f>
        <v>5.4095859999999996E-2</v>
      </c>
      <c r="AC67" s="123">
        <f>'Parameters | Agora'!$B$4*0.0000110310943772135</f>
        <v>0.6557544363478337</v>
      </c>
      <c r="AD67" s="123">
        <f>'Parameters | Agora'!$B$4*7.76747735034866E-06</f>
        <v>0.46174545856882643</v>
      </c>
      <c r="AE67" s="123">
        <f>'Parameters | Agora'!$B$4*7.76747735034866E-06</f>
        <v>0.46174545856882643</v>
      </c>
      <c r="AF67" s="123">
        <f>'Parameters | Agora'!$B$4*0.000281365323992451</f>
        <v>16.726043050055242</v>
      </c>
      <c r="AG67" s="123">
        <f>'Parameters | Agora'!$B$4*3.33485056007381E-06</f>
        <v>0.19824352639414769</v>
      </c>
      <c r="AH67" s="123">
        <f>'Parameters | Agora'!$B$4*3.11776860901791E-06</f>
        <v>0.18533887273167868</v>
      </c>
      <c r="AI67" s="123">
        <f>'Parameters | Agora'!$B$4*2.55695774982385E-07</f>
        <v>1.520009103960286E-2</v>
      </c>
      <c r="AJ67" s="123">
        <f>'Parameters | Agora'!$B$4*1.14872213822745E-08</f>
        <v>6.8286936229068997E-4</v>
      </c>
    </row>
    <row r="68" spans="1:36">
      <c r="A68" s="120" t="s">
        <v>442</v>
      </c>
      <c r="B68" s="120" t="s">
        <v>443</v>
      </c>
      <c r="C68" s="120" t="s">
        <v>116</v>
      </c>
      <c r="D68" s="120" t="s">
        <v>322</v>
      </c>
      <c r="E68" s="120" t="s">
        <v>316</v>
      </c>
      <c r="F68" s="121">
        <v>2023</v>
      </c>
      <c r="G68" s="123">
        <f>'Parameters | Agora'!$B$4*0.0000434140646501086</f>
        <v>2.5807924871903558</v>
      </c>
      <c r="H68" s="123">
        <f>'Parameters | Agora'!$B$4*2.59532051350803E-06</f>
        <v>0.15428142324599836</v>
      </c>
      <c r="I68" s="123">
        <f>'Parameters | Agora'!$B$4*9.4260365866935E-07</f>
        <v>5.6034017093258184E-2</v>
      </c>
      <c r="J68" s="123">
        <f>'Parameters | Agora'!$B$4*8.63343994036925E-08</f>
        <v>5.1322347069519044E-3</v>
      </c>
      <c r="K68" s="123">
        <f>'Parameters | Agora'!$B$4*2.26903761602123E-07</f>
        <v>1.3488521012199804E-2</v>
      </c>
      <c r="L68" s="123">
        <f>'Parameters | Agora'!$B$4*7.28231373129231E-06</f>
        <v>0.43290442207040264</v>
      </c>
      <c r="M68" s="123">
        <f>'Parameters | Agora'!$B$4*0.000159424445456297</f>
        <v>9.4771455845950321</v>
      </c>
      <c r="N68" s="123">
        <f>'Parameters | Agora'!$B$4*0.0000903274475250352</f>
        <v>5.3696054455732423</v>
      </c>
      <c r="O68" s="123">
        <f>'Parameters | Agora'!$B$4*0.0000736721680915777</f>
        <v>4.3795157043719275</v>
      </c>
      <c r="P68" s="123">
        <f>'Parameters | Agora'!$B$4*0.000104143689462216</f>
        <v>6.1909257637708928</v>
      </c>
      <c r="Q68" s="123">
        <f>'Parameters | Agora'!$B$4*0.00000332</f>
        <v>0.19736071999999999</v>
      </c>
      <c r="R68" s="123">
        <f>'Parameters | Agora'!$B$4*0.000000228</f>
        <v>1.3553688E-2</v>
      </c>
      <c r="S68" s="123">
        <f>'Parameters | Agora'!$B$4*0.000000010795</f>
        <v>6.4171957000000001E-4</v>
      </c>
      <c r="T68" s="123">
        <f>'Parameters | Agora'!$B$4*2.50193226847388E-06</f>
        <v>0.14872986563169827</v>
      </c>
      <c r="U68" s="123">
        <f>'Parameters | Agora'!$B$4*6.67610507575558E-06</f>
        <v>0.39686774233336619</v>
      </c>
      <c r="V68" s="123">
        <f>'Parameters | Agora'!$B$4*6.67610507575558E-06</f>
        <v>0.39686774233336619</v>
      </c>
      <c r="W68" s="123">
        <f>'Parameters | Agora'!$B$4*3.88785344054027E-06</f>
        <v>0.23111733562635689</v>
      </c>
      <c r="X68" s="123">
        <f>'Parameters | Agora'!$B$4*0.000531</f>
        <v>31.565826000000001</v>
      </c>
      <c r="Y68" s="123">
        <f>'Parameters | Agora'!$B$4*0.000613609067891138</f>
        <v>36.47660464985659</v>
      </c>
      <c r="Z68" s="123">
        <f>'Parameters | Agora'!$B$4*0.000598999328179444</f>
        <v>35.608114062955231</v>
      </c>
      <c r="AA68" s="123">
        <f>'Parameters | Agora'!$B$4*0.000622131416056293</f>
        <v>36.983224158882393</v>
      </c>
      <c r="AB68" s="123">
        <f>'Parameters | Agora'!$B$4*0.00000091</f>
        <v>5.4095859999999996E-2</v>
      </c>
      <c r="AC68" s="123">
        <f>'Parameters | Agora'!$B$4*0.0000383698693911962</f>
        <v>2.2809352558290494</v>
      </c>
      <c r="AD68" s="123">
        <f>'Parameters | Agora'!$B$4*2.12287205293362E-06</f>
        <v>0.12619625205869198</v>
      </c>
      <c r="AE68" s="123">
        <f>'Parameters | Agora'!$B$4*2.12287205293362E-06</f>
        <v>0.12619625205869198</v>
      </c>
      <c r="AF68" s="123">
        <f>'Parameters | Agora'!$B$4*0.000281365323992451</f>
        <v>16.726043050055242</v>
      </c>
      <c r="AG68" s="123">
        <f>'Parameters | Agora'!$B$4*1.75964188384654E-06</f>
        <v>0.10460367142714141</v>
      </c>
      <c r="AH68" s="123">
        <f>'Parameters | Agora'!$B$4*4.66832574239925E-06</f>
        <v>0.27751329208266584</v>
      </c>
      <c r="AI68" s="123">
        <f>'Parameters | Agora'!$B$4*2.25149566900735E-07</f>
        <v>1.3384241153981093E-2</v>
      </c>
      <c r="AJ68" s="123">
        <f>'Parameters | Agora'!$B$4*2.29878826090607E-08</f>
        <v>1.3665376695782224E-3</v>
      </c>
    </row>
    <row r="69" spans="1:36">
      <c r="A69" s="120" t="s">
        <v>444</v>
      </c>
      <c r="B69" s="120" t="s">
        <v>445</v>
      </c>
      <c r="C69" s="120" t="s">
        <v>116</v>
      </c>
      <c r="D69" s="120" t="s">
        <v>322</v>
      </c>
      <c r="E69" s="120" t="s">
        <v>316</v>
      </c>
      <c r="F69" s="121">
        <v>2023</v>
      </c>
      <c r="G69" s="123">
        <f>'Parameters | Agora'!$B$4*0.0000783439558691973</f>
        <v>4.6572348006003033</v>
      </c>
      <c r="H69" s="123">
        <f>'Parameters | Agora'!$B$4*2.59532051350803E-06</f>
        <v>0.15428142324599836</v>
      </c>
      <c r="I69" s="123">
        <f>'Parameters | Agora'!$B$4*7.62946788411929E-07</f>
        <v>4.5354134783935532E-2</v>
      </c>
      <c r="J69" s="123">
        <f>'Parameters | Agora'!$B$4*8.63343994036925E-08</f>
        <v>5.1322347069519044E-3</v>
      </c>
      <c r="K69" s="123">
        <f>'Parameters | Agora'!$B$4*0.0000001836567199806</f>
        <v>1.0917657375966748E-2</v>
      </c>
      <c r="L69" s="123">
        <f>'Parameters | Agora'!$B$4*7.28231373129231E-06</f>
        <v>0.43290442207040264</v>
      </c>
      <c r="M69" s="123">
        <f>'Parameters | Agora'!$B$4*0.0000304840535621507</f>
        <v>1.8121550480556106</v>
      </c>
      <c r="N69" s="123">
        <f>'Parameters | Agora'!$B$4*0.0000482064348319105</f>
        <v>2.8656797250177517</v>
      </c>
      <c r="O69" s="123">
        <f>'Parameters | Agora'!$B$4*0.0000455073403958157</f>
        <v>2.7052293571696602</v>
      </c>
      <c r="P69" s="123">
        <f>'Parameters | Agora'!$B$4*0.0000661883500028781</f>
        <v>3.9346326542710917</v>
      </c>
      <c r="Q69" s="123">
        <f>'Parameters | Agora'!$B$4*0.00000332</f>
        <v>0.19736071999999999</v>
      </c>
      <c r="R69" s="123">
        <f>'Parameters | Agora'!$B$4*0.000000228</f>
        <v>1.3553688E-2</v>
      </c>
      <c r="S69" s="123">
        <f>'Parameters | Agora'!$B$4*0.000000010795</f>
        <v>6.4171957000000001E-4</v>
      </c>
      <c r="T69" s="123">
        <f>'Parameters | Agora'!$B$4*2.13491340263393E-06</f>
        <v>0.12691206213297659</v>
      </c>
      <c r="U69" s="123">
        <f>'Parameters | Agora'!$B$4*7.53919862971384E-06</f>
        <v>0.44817520174196895</v>
      </c>
      <c r="V69" s="123">
        <f>'Parameters | Agora'!$B$4*7.53919862971384E-06</f>
        <v>0.44817520174196895</v>
      </c>
      <c r="W69" s="123">
        <f>'Parameters | Agora'!$B$4*3.88785344054027E-06</f>
        <v>0.23111733562635689</v>
      </c>
      <c r="X69" s="123">
        <f>'Parameters | Agora'!$B$4*0.000531</f>
        <v>31.565826000000001</v>
      </c>
      <c r="Y69" s="123">
        <f>'Parameters | Agora'!$B$4*0.000545502353167492</f>
        <v>32.427932886394728</v>
      </c>
      <c r="Z69" s="123">
        <f>'Parameters | Agora'!$B$4*0.000504491091917309</f>
        <v>29.989977450116349</v>
      </c>
      <c r="AA69" s="123">
        <f>'Parameters | Agora'!$B$4*0.000572580301300625</f>
        <v>34.037608591116957</v>
      </c>
      <c r="AB69" s="123">
        <f>'Parameters | Agora'!$B$4*0.00000091</f>
        <v>5.4095859999999996E-2</v>
      </c>
      <c r="AC69" s="123">
        <f>'Parameters | Agora'!$B$4*0.0000692413248682815</f>
        <v>4.1161197981198621</v>
      </c>
      <c r="AD69" s="123">
        <f>'Parameters | Agora'!$B$4*3.39680625325501E-06</f>
        <v>0.20192654453099732</v>
      </c>
      <c r="AE69" s="123">
        <f>'Parameters | Agora'!$B$4*3.39680625325501E-06</f>
        <v>0.20192654453099732</v>
      </c>
      <c r="AF69" s="123">
        <f>'Parameters | Agora'!$B$4*0.000281365323992451</f>
        <v>16.726043050055242</v>
      </c>
      <c r="AG69" s="123">
        <f>'Parameters | Agora'!$B$4*1.11095864756389E-06</f>
        <v>6.6042047763083006E-2</v>
      </c>
      <c r="AH69" s="123">
        <f>'Parameters | Agora'!$B$4*6.11389047850461E-06</f>
        <v>0.36344633338518506</v>
      </c>
      <c r="AI69" s="123">
        <f>'Parameters | Agora'!$B$4*3.03620420464514E-07</f>
        <v>1.8049019514933498E-2</v>
      </c>
      <c r="AJ69" s="123">
        <f>'Parameters | Agora'!$B$4*1.07290831808282E-08</f>
        <v>6.3780107876751314E-4</v>
      </c>
    </row>
    <row r="70" spans="1:36">
      <c r="A70" s="120" t="s">
        <v>446</v>
      </c>
      <c r="B70" s="120" t="s">
        <v>447</v>
      </c>
      <c r="C70" s="120" t="s">
        <v>119</v>
      </c>
      <c r="D70" s="120" t="s">
        <v>325</v>
      </c>
      <c r="E70" s="120" t="s">
        <v>316</v>
      </c>
      <c r="F70" s="121">
        <v>2023</v>
      </c>
      <c r="G70" s="123">
        <f>'Parameters | Agora'!$B$4*0.000133970259053022</f>
        <v>7.9639960196659461</v>
      </c>
      <c r="H70" s="123">
        <f>'Parameters | Agora'!$B$4*2.59532051350803E-06</f>
        <v>0.15428142324599836</v>
      </c>
      <c r="I70" s="123">
        <f>'Parameters | Agora'!$B$4*9.73103893725173E-07</f>
        <v>5.7847134066386634E-2</v>
      </c>
      <c r="J70" s="123">
        <f>'Parameters | Agora'!$B$4*2.24299408328451E-07</f>
        <v>1.3333702627493097E-2</v>
      </c>
      <c r="K70" s="123">
        <f>'Parameters | Agora'!$B$4*2.34245784943816E-07</f>
        <v>1.3924974931770086E-2</v>
      </c>
      <c r="L70" s="123">
        <f>'Parameters | Agora'!$B$4*7.28231373129231E-06</f>
        <v>0.43290442207040264</v>
      </c>
      <c r="M70" s="123">
        <f>'Parameters | Agora'!$B$4*0.00099515412173427</f>
        <v>59.157931920615418</v>
      </c>
      <c r="N70" s="123">
        <f>'Parameters | Agora'!$B$4*0.000905012549787765</f>
        <v>53.799376034683476</v>
      </c>
      <c r="O70" s="123">
        <f>'Parameters | Agora'!$B$4*0.0042324830368071</f>
        <v>251.60418660603489</v>
      </c>
      <c r="P70" s="123">
        <f>'Parameters | Agora'!$B$4*0.00393039724897864</f>
        <v>233.64639486278423</v>
      </c>
      <c r="Q70" s="123">
        <f>'Parameters | Agora'!$B$4*0.00000332</f>
        <v>0.19736071999999999</v>
      </c>
      <c r="R70" s="123">
        <f>'Parameters | Agora'!$B$4*0.000000228</f>
        <v>1.3553688E-2</v>
      </c>
      <c r="S70" s="123">
        <f>'Parameters | Agora'!$B$4*0.000000010795</f>
        <v>6.4171957000000001E-4</v>
      </c>
      <c r="T70" s="123">
        <f>'Parameters | Agora'!$B$4*0.0000019909509210998</f>
        <v>0.11835406845569872</v>
      </c>
      <c r="U70" s="123">
        <f>'Parameters | Agora'!$B$4*5.76073752364443E-06</f>
        <v>0.34245280283056678</v>
      </c>
      <c r="V70" s="123">
        <f>'Parameters | Agora'!$B$4*5.76073752364443E-06</f>
        <v>0.34245280283056678</v>
      </c>
      <c r="W70" s="123">
        <f>'Parameters | Agora'!$B$4*3.88785344054027E-06</f>
        <v>0.23111733562635689</v>
      </c>
      <c r="X70" s="123">
        <f>'Parameters | Agora'!$B$4*0.000531</f>
        <v>31.565826000000001</v>
      </c>
      <c r="Y70" s="123">
        <f>'Parameters | Agora'!$B$4*0.00154294140617975</f>
        <v>91.721694831761411</v>
      </c>
      <c r="Z70" s="123">
        <f>'Parameters | Agora'!$B$4*0.00140330869973814</f>
        <v>83.421088964633469</v>
      </c>
      <c r="AA70" s="123">
        <f>'Parameters | Agora'!$B$4*0.00174048061735155</f>
        <v>103.46461077908025</v>
      </c>
      <c r="AB70" s="123">
        <f>'Parameters | Agora'!$B$4*0.00000091</f>
        <v>5.4095859999999996E-2</v>
      </c>
      <c r="AC70" s="123">
        <f>'Parameters | Agora'!$B$4*0.000118404516683658</f>
        <v>7.0386748987767334</v>
      </c>
      <c r="AD70" s="123">
        <f>'Parameters | Agora'!$B$4*1.21321774282962E-06</f>
        <v>7.212094194024958E-2</v>
      </c>
      <c r="AE70" s="123">
        <f>'Parameters | Agora'!$B$4*1.21321774282962E-06</f>
        <v>7.212094194024958E-2</v>
      </c>
      <c r="AF70" s="123">
        <f>'Parameters | Agora'!$B$4*0.000281365323992451</f>
        <v>16.726043050055242</v>
      </c>
      <c r="AG70" s="123">
        <f>'Parameters | Agora'!$B$4*1.50159493050866E-06</f>
        <v>8.9263812239017803E-2</v>
      </c>
      <c r="AH70" s="123">
        <f>'Parameters | Agora'!$B$4*4.15324799584899E-06</f>
        <v>0.24689398036123902</v>
      </c>
      <c r="AI70" s="123">
        <f>'Parameters | Agora'!$B$4*9.46009965873264E-08</f>
        <v>5.6236508431302054E-3</v>
      </c>
      <c r="AJ70" s="123">
        <f>'Parameters | Agora'!$B$4*1.12936006994487E-08</f>
        <v>6.7135938717942736E-4</v>
      </c>
    </row>
    <row r="71" spans="1:36">
      <c r="A71" s="120" t="s">
        <v>448</v>
      </c>
      <c r="B71" s="120" t="s">
        <v>449</v>
      </c>
      <c r="C71" s="120" t="s">
        <v>119</v>
      </c>
      <c r="D71" s="120" t="s">
        <v>319</v>
      </c>
      <c r="E71" s="120" t="s">
        <v>316</v>
      </c>
      <c r="F71" s="121">
        <v>2023</v>
      </c>
      <c r="G71" s="123">
        <f>'Parameters | Agora'!$B$4*0.000172160098613465</f>
        <v>10.23422922217604</v>
      </c>
      <c r="H71" s="123">
        <f>'Parameters | Agora'!$B$4*2.59532051350803E-06</f>
        <v>0.15428142324599836</v>
      </c>
      <c r="I71" s="123">
        <f>'Parameters | Agora'!$B$4*1.25049890542175E-06</f>
        <v>7.4337157931701356E-2</v>
      </c>
      <c r="J71" s="123">
        <f>'Parameters | Agora'!$B$4*2.24299408328451E-07</f>
        <v>1.3333702627493097E-2</v>
      </c>
      <c r="K71" s="123">
        <f>'Parameters | Agora'!$B$4*3.01020373631994E-07</f>
        <v>1.7894457130927514E-2</v>
      </c>
      <c r="L71" s="123">
        <f>'Parameters | Agora'!$B$4*7.28231373129231E-06</f>
        <v>0.43290442207040264</v>
      </c>
      <c r="M71" s="123">
        <f>'Parameters | Agora'!$B$4*0.000109711187343304</f>
        <v>6.5218912428100495</v>
      </c>
      <c r="N71" s="123">
        <f>'Parameters | Agora'!$B$4*0.0000265644295399265</f>
        <v>1.5791490784304707</v>
      </c>
      <c r="O71" s="123">
        <f>'Parameters | Agora'!$B$4*0.000289393172144821</f>
        <v>17.203266511321029</v>
      </c>
      <c r="P71" s="123">
        <f>'Parameters | Agora'!$B$4*0.000117034771427323</f>
        <v>6.9572490222686429</v>
      </c>
      <c r="Q71" s="123">
        <f>'Parameters | Agora'!$B$4*0.00000332</f>
        <v>0.19736071999999999</v>
      </c>
      <c r="R71" s="123">
        <f>'Parameters | Agora'!$B$4*0.000000228</f>
        <v>1.3553688E-2</v>
      </c>
      <c r="S71" s="123">
        <f>'Parameters | Agora'!$B$4*0.000000010795</f>
        <v>6.4171957000000001E-4</v>
      </c>
      <c r="T71" s="123">
        <f>'Parameters | Agora'!$B$4*0.0000024079966455652</f>
        <v>0.14314576859226888</v>
      </c>
      <c r="U71" s="123">
        <f>'Parameters | Agora'!$B$4*3.52040698158094E-06</f>
        <v>0.20927411342706057</v>
      </c>
      <c r="V71" s="123">
        <f>'Parameters | Agora'!$B$4*3.52040698158094E-06</f>
        <v>0.20927411342706057</v>
      </c>
      <c r="W71" s="123">
        <f>'Parameters | Agora'!$B$4*3.88785344054027E-06</f>
        <v>0.23111733562635689</v>
      </c>
      <c r="X71" s="123">
        <f>'Parameters | Agora'!$B$4*0.000531</f>
        <v>31.565826000000001</v>
      </c>
      <c r="Y71" s="123">
        <f>'Parameters | Agora'!$B$4*0.00109213981824704</f>
        <v>64.923343635513547</v>
      </c>
      <c r="Z71" s="123">
        <f>'Parameters | Agora'!$B$4*0.000986216358112897</f>
        <v>58.626617624379278</v>
      </c>
      <c r="AA71" s="123">
        <f>'Parameters | Agora'!$B$4*0.00125541237070234</f>
        <v>74.629243788771305</v>
      </c>
      <c r="AB71" s="123">
        <f>'Parameters | Agora'!$B$4*0.00000091</f>
        <v>5.4095859999999996E-2</v>
      </c>
      <c r="AC71" s="123">
        <f>'Parameters | Agora'!$B$4*0.00015215715348039</f>
        <v>9.0451341457952648</v>
      </c>
      <c r="AD71" s="123">
        <f>'Parameters | Agora'!$B$4*1.68182385301861E-06</f>
        <v>9.9977700766544289E-2</v>
      </c>
      <c r="AE71" s="123">
        <f>'Parameters | Agora'!$B$4*1.68182385301861E-06</f>
        <v>9.9977700766544289E-2</v>
      </c>
      <c r="AF71" s="123">
        <f>'Parameters | Agora'!$B$4*0.000281365323992451</f>
        <v>16.726043050055242</v>
      </c>
      <c r="AG71" s="123">
        <f>'Parameters | Agora'!$B$4*1.95073627287545E-06</f>
        <v>0.115963468477354</v>
      </c>
      <c r="AH71" s="123">
        <f>'Parameters | Agora'!$B$4*1.45943519429383E-06</f>
        <v>8.6757584559991011E-2</v>
      </c>
      <c r="AI71" s="123">
        <f>'Parameters | Agora'!$B$4*9.53412880505663E-08</f>
        <v>5.6676582094539645E-3</v>
      </c>
      <c r="AJ71" s="123">
        <f>'Parameters | Agora'!$B$4*1.4894226361095E-08</f>
        <v>8.8540218026165335E-4</v>
      </c>
    </row>
    <row r="72" spans="1:36">
      <c r="A72" s="120" t="s">
        <v>450</v>
      </c>
      <c r="B72" s="120" t="s">
        <v>451</v>
      </c>
      <c r="C72" s="120" t="s">
        <v>116</v>
      </c>
      <c r="D72" s="120" t="s">
        <v>121</v>
      </c>
      <c r="E72" s="120" t="s">
        <v>316</v>
      </c>
      <c r="F72" s="121">
        <v>2023</v>
      </c>
      <c r="G72" s="123">
        <f>'Parameters | Agora'!$B$4*0.0000842471890090237</f>
        <v>5.0081583978304227</v>
      </c>
      <c r="H72" s="123">
        <f>'Parameters | Agora'!$B$4*2.59532051350803E-06</f>
        <v>0.15428142324599836</v>
      </c>
      <c r="I72" s="123">
        <f>'Parameters | Agora'!$B$4*1.87392908510332E-07</f>
        <v>1.1139758839305196E-2</v>
      </c>
      <c r="J72" s="123">
        <f>'Parameters | Agora'!$B$4*8.63343994036925E-08</f>
        <v>5.1322347069519044E-3</v>
      </c>
      <c r="K72" s="123">
        <f>'Parameters | Agora'!$B$4*4.51092624641215E-08</f>
        <v>2.6815652164421666E-3</v>
      </c>
      <c r="L72" s="123">
        <f>'Parameters | Agora'!$B$4*7.28231373129231E-06</f>
        <v>0.43290442207040264</v>
      </c>
      <c r="M72" s="123">
        <f>'Parameters | Agora'!$B$4*0</f>
        <v>0</v>
      </c>
      <c r="N72" s="123">
        <f>'Parameters | Agora'!$B$4*0.000272752416648222</f>
        <v>16.214040160070205</v>
      </c>
      <c r="O72" s="123">
        <f>'Parameters | Agora'!$B$4*0</f>
        <v>0</v>
      </c>
      <c r="P72" s="123">
        <f>'Parameters | Agora'!$B$4*0</f>
        <v>0</v>
      </c>
      <c r="Q72" s="123">
        <f>'Parameters | Agora'!$B$4*0.00000332</f>
        <v>0.19736071999999999</v>
      </c>
      <c r="R72" s="123">
        <f>'Parameters | Agora'!$B$4*0.000000228</f>
        <v>1.3553688E-2</v>
      </c>
      <c r="S72" s="123">
        <f>'Parameters | Agora'!$B$4*0.000000010795</f>
        <v>6.4171957000000001E-4</v>
      </c>
      <c r="T72" s="123">
        <f>'Parameters | Agora'!$B$4*3.82371464981584E-07</f>
        <v>2.2730454107295243E-2</v>
      </c>
      <c r="U72" s="123">
        <f>'Parameters | Agora'!$B$4*1.00957878786551E-06</f>
        <v>6.0015420623453108E-2</v>
      </c>
      <c r="V72" s="123">
        <f>'Parameters | Agora'!$B$4*1.00957878786551E-06</f>
        <v>6.0015420623453108E-2</v>
      </c>
      <c r="W72" s="123">
        <f>'Parameters | Agora'!$B$4*3.88785344054027E-06</f>
        <v>0.23111733562635689</v>
      </c>
      <c r="X72" s="123">
        <f>'Parameters | Agora'!$B$4*0.000531</f>
        <v>31.565826000000001</v>
      </c>
      <c r="Y72" s="123">
        <f>'Parameters | Agora'!$B$4*0.000854577110937182</f>
        <v>50.801190936771718</v>
      </c>
      <c r="Z72" s="123">
        <f>'Parameters | Agora'!$B$4*0.0007945797980181</f>
        <v>47.23459067298397</v>
      </c>
      <c r="AA72" s="123">
        <f>'Parameters | Agora'!$B$4*0.000899959693786231</f>
        <v>53.499003956816289</v>
      </c>
      <c r="AB72" s="123">
        <f>'Parameters | Agora'!$B$4*0.00000091</f>
        <v>5.4095859999999996E-2</v>
      </c>
      <c r="AC72" s="123">
        <f>'Parameters | Agora'!$B$4*0.0000744586728956183</f>
        <v>4.4262702689529254</v>
      </c>
      <c r="AD72" s="123">
        <f>'Parameters | Agora'!$B$4*3.2172096088771E-08</f>
        <v>1.9125024240930809E-3</v>
      </c>
      <c r="AE72" s="123">
        <f>'Parameters | Agora'!$B$4*3.2172096088771E-08</f>
        <v>1.9125024240930809E-3</v>
      </c>
      <c r="AF72" s="123">
        <f>'Parameters | Agora'!$B$4*0.000281365323992451</f>
        <v>16.726043050055242</v>
      </c>
      <c r="AG72" s="123">
        <f>'Parameters | Agora'!$B$4*3.35248204062829E-07</f>
        <v>1.9929164738718932E-2</v>
      </c>
      <c r="AH72" s="123">
        <f>'Parameters | Agora'!$B$4*6.68992815885687E-07</f>
        <v>3.976894693314055E-2</v>
      </c>
      <c r="AI72" s="123">
        <f>'Parameters | Agora'!$B$4*2.15423757053228E-09</f>
        <v>1.280608066178619E-4</v>
      </c>
      <c r="AJ72" s="123">
        <f>'Parameters | Agora'!$B$4*3.18353034646104E-09</f>
        <v>1.8924814497572298E-4</v>
      </c>
    </row>
    <row r="73" spans="1:36">
      <c r="A73" s="120" t="s">
        <v>452</v>
      </c>
      <c r="B73" s="120" t="s">
        <v>453</v>
      </c>
      <c r="C73" s="120" t="s">
        <v>116</v>
      </c>
      <c r="D73" s="120" t="s">
        <v>325</v>
      </c>
      <c r="E73" s="120" t="s">
        <v>316</v>
      </c>
      <c r="F73" s="121">
        <v>2023</v>
      </c>
      <c r="G73" s="123">
        <f>'Parameters | Agora'!$B$4*0.000113542904721666</f>
        <v>6.7496715140841568</v>
      </c>
      <c r="H73" s="123">
        <f>'Parameters | Agora'!$B$4*2.59532051350803E-06</f>
        <v>0.15428142324599836</v>
      </c>
      <c r="I73" s="123">
        <f>'Parameters | Agora'!$B$4*8.24728140936042E-07</f>
        <v>4.9026789066083952E-2</v>
      </c>
      <c r="J73" s="123">
        <f>'Parameters | Agora'!$B$4*8.63343994036925E-08</f>
        <v>5.1322347069519044E-3</v>
      </c>
      <c r="K73" s="123">
        <f>'Parameters | Agora'!$B$4*1.98528740851363E-07</f>
        <v>1.1801739528650126E-2</v>
      </c>
      <c r="L73" s="123">
        <f>'Parameters | Agora'!$B$4*7.28231373129231E-06</f>
        <v>0.43290442207040264</v>
      </c>
      <c r="M73" s="123">
        <f>'Parameters | Agora'!$B$4*0.00117395191753489</f>
        <v>69.786745689779067</v>
      </c>
      <c r="N73" s="123">
        <f>'Parameters | Agora'!$B$4*0.00182692400136571</f>
        <v>108.603324185186</v>
      </c>
      <c r="O73" s="123">
        <f>'Parameters | Agora'!$B$4*0.0000920816961764878</f>
        <v>5.4738885109074937</v>
      </c>
      <c r="P73" s="123">
        <f>'Parameters | Agora'!$B$4*0.000359696523609459</f>
        <v>21.382519542487902</v>
      </c>
      <c r="Q73" s="123">
        <f>'Parameters | Agora'!$B$4*0.00000332</f>
        <v>0.19736071999999999</v>
      </c>
      <c r="R73" s="123">
        <f>'Parameters | Agora'!$B$4*0.000000228</f>
        <v>1.3553688E-2</v>
      </c>
      <c r="S73" s="123">
        <f>'Parameters | Agora'!$B$4*0.000000010795</f>
        <v>6.4171957000000001E-4</v>
      </c>
      <c r="T73" s="123">
        <f>'Parameters | Agora'!$B$4*1.73814763435585E-06</f>
        <v>0.10332592427191785</v>
      </c>
      <c r="U73" s="123">
        <f>'Parameters | Agora'!$B$4*7.02104421195475E-06</f>
        <v>0.41737299422386204</v>
      </c>
      <c r="V73" s="123">
        <f>'Parameters | Agora'!$B$4*7.02104421195475E-06</f>
        <v>0.41737299422386204</v>
      </c>
      <c r="W73" s="123">
        <f>'Parameters | Agora'!$B$4*3.88785344054027E-06</f>
        <v>0.23111733562635689</v>
      </c>
      <c r="X73" s="123">
        <f>'Parameters | Agora'!$B$4*0.000531</f>
        <v>31.565826000000001</v>
      </c>
      <c r="Y73" s="123">
        <f>'Parameters | Agora'!$B$4*0.000774632800559188</f>
        <v>46.048821462041488</v>
      </c>
      <c r="Z73" s="123">
        <f>'Parameters | Agora'!$B$4*0.000747452702293953</f>
        <v>44.433073340566331</v>
      </c>
      <c r="AA73" s="123">
        <f>'Parameters | Agora'!$B$4*0.000781827532452926</f>
        <v>46.476519494196637</v>
      </c>
      <c r="AB73" s="123">
        <f>'Parameters | Agora'!$B$4*0.00000091</f>
        <v>5.4095859999999996E-2</v>
      </c>
      <c r="AC73" s="123">
        <f>'Parameters | Agora'!$B$4*0.000100350576698569</f>
        <v>5.9654403824231323</v>
      </c>
      <c r="AD73" s="123">
        <f>'Parameters | Agora'!$B$4*1.82163271068183E-06</f>
        <v>0.10828877811919208</v>
      </c>
      <c r="AE73" s="123">
        <f>'Parameters | Agora'!$B$4*1.82163271068183E-06</f>
        <v>0.10828877811919208</v>
      </c>
      <c r="AF73" s="123">
        <f>'Parameters | Agora'!$B$4*0.000281365323992451</f>
        <v>16.726043050055242</v>
      </c>
      <c r="AG73" s="123">
        <f>'Parameters | Agora'!$B$4*1.37717229845467E-06</f>
        <v>8.1867384453936307E-2</v>
      </c>
      <c r="AH73" s="123">
        <f>'Parameters | Agora'!$B$4*5.56924303923472E-06</f>
        <v>0.33106922171034719</v>
      </c>
      <c r="AI73" s="123">
        <f>'Parameters | Agora'!$B$4*6.5724817428406E-08</f>
        <v>3.907077496849023E-3</v>
      </c>
      <c r="AJ73" s="123">
        <f>'Parameters | Agora'!$B$4*8.90405683694485E-09</f>
        <v>5.293105627290236E-4</v>
      </c>
    </row>
    <row r="74" spans="1:36">
      <c r="A74" s="120" t="s">
        <v>454</v>
      </c>
      <c r="B74" s="120" t="s">
        <v>455</v>
      </c>
      <c r="C74" s="120" t="s">
        <v>116</v>
      </c>
      <c r="D74" s="120" t="s">
        <v>325</v>
      </c>
      <c r="E74" s="120" t="s">
        <v>316</v>
      </c>
      <c r="F74" s="121">
        <v>2023</v>
      </c>
      <c r="G74" s="123">
        <f>'Parameters | Agora'!$B$4*0.0000951652950219571</f>
        <v>5.6571961278752623</v>
      </c>
      <c r="H74" s="123">
        <f>'Parameters | Agora'!$B$4*2.59532051350803E-06</f>
        <v>0.15428142324599836</v>
      </c>
      <c r="I74" s="123">
        <f>'Parameters | Agora'!$B$4*6.91240875310392E-07</f>
        <v>4.1091505073701566E-2</v>
      </c>
      <c r="J74" s="123">
        <f>'Parameters | Agora'!$B$4*8.63343994036925E-08</f>
        <v>5.1322347069519044E-3</v>
      </c>
      <c r="K74" s="123">
        <f>'Parameters | Agora'!$B$4*1.66395656688291E-07</f>
        <v>9.8915562074921477E-3</v>
      </c>
      <c r="L74" s="123">
        <f>'Parameters | Agora'!$B$4*7.28231373129231E-06</f>
        <v>0.43290442207040264</v>
      </c>
      <c r="M74" s="123">
        <f>'Parameters | Agora'!$B$4*0.000413305169726445</f>
        <v>24.569339119558251</v>
      </c>
      <c r="N74" s="123">
        <f>'Parameters | Agora'!$B$4*0.0000366102534435776</f>
        <v>2.1763331262069139</v>
      </c>
      <c r="O74" s="123">
        <f>'Parameters | Agora'!$B$4*0.0000700983124704776</f>
        <v>4.1670642831200118</v>
      </c>
      <c r="P74" s="123">
        <f>'Parameters | Agora'!$B$4*0.0000790805133609046</f>
        <v>4.7010201972523351</v>
      </c>
      <c r="Q74" s="123">
        <f>'Parameters | Agora'!$B$4*0.00000332</f>
        <v>0.19736071999999999</v>
      </c>
      <c r="R74" s="123">
        <f>'Parameters | Agora'!$B$4*0.000000228</f>
        <v>1.3553688E-2</v>
      </c>
      <c r="S74" s="123">
        <f>'Parameters | Agora'!$B$4*0.000000010795</f>
        <v>6.4171957000000001E-4</v>
      </c>
      <c r="T74" s="123">
        <f>'Parameters | Agora'!$B$4*0.000001763357431808</f>
        <v>0.10482454589125836</v>
      </c>
      <c r="U74" s="123">
        <f>'Parameters | Agora'!$B$4*6.88847147304804E-06</f>
        <v>0.4094920751868138</v>
      </c>
      <c r="V74" s="123">
        <f>'Parameters | Agora'!$B$4*6.88847147304804E-06</f>
        <v>0.4094920751868138</v>
      </c>
      <c r="W74" s="123">
        <f>'Parameters | Agora'!$B$4*3.88785344054027E-06</f>
        <v>0.23111733562635689</v>
      </c>
      <c r="X74" s="123">
        <f>'Parameters | Agora'!$B$4*0.000531</f>
        <v>31.565826000000001</v>
      </c>
      <c r="Y74" s="123">
        <f>'Parameters | Agora'!$B$4*0.000506908548157425</f>
        <v>30.133685553766284</v>
      </c>
      <c r="Z74" s="123">
        <f>'Parameters | Agora'!$B$4*0.000497804010050002</f>
        <v>29.592457181432419</v>
      </c>
      <c r="AA74" s="123">
        <f>'Parameters | Agora'!$B$4*0.000520029794253418</f>
        <v>30.913691149188686</v>
      </c>
      <c r="AB74" s="123">
        <f>'Parameters | Agora'!$B$4*0.00000091</f>
        <v>5.4095859999999996E-2</v>
      </c>
      <c r="AC74" s="123">
        <f>'Parameters | Agora'!$B$4*0.000084108225525435</f>
        <v>4.9998975745850087</v>
      </c>
      <c r="AD74" s="123">
        <f>'Parameters | Agora'!$B$4*2.83920290644268E-06</f>
        <v>0.16877925597639157</v>
      </c>
      <c r="AE74" s="123">
        <f>'Parameters | Agora'!$B$4*2.83920290644268E-06</f>
        <v>0.16877925597639157</v>
      </c>
      <c r="AF74" s="123">
        <f>'Parameters | Agora'!$B$4*0.000281365323992451</f>
        <v>16.726043050055242</v>
      </c>
      <c r="AG74" s="123">
        <f>'Parameters | Agora'!$B$4*1.10423938828406E-06</f>
        <v>6.5642614675934227E-2</v>
      </c>
      <c r="AH74" s="123">
        <f>'Parameters | Agora'!$B$4*5.57591668718529E-06</f>
        <v>0.33146594338641672</v>
      </c>
      <c r="AI74" s="123">
        <f>'Parameters | Agora'!$B$4*0.0000001982654807892</f>
        <v>1.1786089770994783E-2</v>
      </c>
      <c r="AJ74" s="123">
        <f>'Parameters | Agora'!$B$4*1.00499167894869E-08</f>
        <v>5.9742735346783832E-4</v>
      </c>
    </row>
    <row r="75" spans="1:36">
      <c r="A75" s="120" t="s">
        <v>456</v>
      </c>
      <c r="B75" s="120" t="s">
        <v>457</v>
      </c>
      <c r="C75" s="120" t="s">
        <v>114</v>
      </c>
      <c r="D75" s="120" t="s">
        <v>121</v>
      </c>
      <c r="E75" s="120" t="s">
        <v>316</v>
      </c>
      <c r="F75" s="121">
        <v>2023</v>
      </c>
      <c r="G75" s="123">
        <f>'Parameters | Agora'!$B$4*2.84501895275258E-06</f>
        <v>0.16912499666532987</v>
      </c>
      <c r="H75" s="123">
        <f>'Parameters | Agora'!$B$4*2.59532051350803E-06</f>
        <v>0.15428142324599836</v>
      </c>
      <c r="I75" s="123">
        <f>'Parameters | Agora'!$B$4*0.0000014218506795919</f>
        <v>8.4523335499020094E-2</v>
      </c>
      <c r="J75" s="123">
        <f>'Parameters | Agora'!$B$4*8.62473484142803E-08</f>
        <v>5.1270598738353068E-3</v>
      </c>
      <c r="K75" s="123">
        <f>'Parameters | Agora'!$B$4*3.42268210682926E-07</f>
        <v>2.0346476052257218E-2</v>
      </c>
      <c r="L75" s="123">
        <f>'Parameters | Agora'!$B$4*7.28231373129231E-06</f>
        <v>0.43290442207040264</v>
      </c>
      <c r="M75" s="123">
        <f>'Parameters | Agora'!$B$4*0.000127069957930268</f>
        <v>7.5538007191227123</v>
      </c>
      <c r="N75" s="123">
        <f>'Parameters | Agora'!$B$4*0.0000754437708540652</f>
        <v>4.4848304021907603</v>
      </c>
      <c r="O75" s="123">
        <f>'Parameters | Agora'!$B$4*0.0000533974772738579</f>
        <v>3.1742664340217566</v>
      </c>
      <c r="P75" s="123">
        <f>'Parameters | Agora'!$B$4*0.0000555382981150653</f>
        <v>3.3015296697481715</v>
      </c>
      <c r="Q75" s="123">
        <f>'Parameters | Agora'!$B$4*0.00000332</f>
        <v>0.19736071999999999</v>
      </c>
      <c r="R75" s="123">
        <f>'Parameters | Agora'!$B$4*0.000000228</f>
        <v>1.3553688E-2</v>
      </c>
      <c r="S75" s="123">
        <f>'Parameters | Agora'!$B$4*0.000000010795</f>
        <v>6.4171957000000001E-4</v>
      </c>
      <c r="T75" s="123">
        <f>'Parameters | Agora'!$B$4*2.90551814470862E-06</f>
        <v>0.17272143163034862</v>
      </c>
      <c r="U75" s="123">
        <f>'Parameters | Agora'!$B$4*7.31491938070788E-06</f>
        <v>0.43484269750556065</v>
      </c>
      <c r="V75" s="123">
        <f>'Parameters | Agora'!$B$4*7.31491938070788E-06</f>
        <v>0.43484269750556065</v>
      </c>
      <c r="W75" s="123">
        <f>'Parameters | Agora'!$B$4*3.88785344054027E-06</f>
        <v>0.23111733562635689</v>
      </c>
      <c r="X75" s="123">
        <f>'Parameters | Agora'!$B$4*0.000531</f>
        <v>31.565826000000001</v>
      </c>
      <c r="Y75" s="123">
        <f>'Parameters | Agora'!$B$4*0.000362784083649546</f>
        <v>21.56606263663091</v>
      </c>
      <c r="Z75" s="123">
        <f>'Parameters | Agora'!$B$4*0.000322990701520517</f>
        <v>19.200505242588655</v>
      </c>
      <c r="AA75" s="123">
        <f>'Parameters | Agora'!$B$4*0.000365588881026829</f>
        <v>21.732796621520876</v>
      </c>
      <c r="AB75" s="123">
        <f>'Parameters | Agora'!$B$4*0.00000091</f>
        <v>5.4095859999999996E-2</v>
      </c>
      <c r="AC75" s="123">
        <f>'Parameters | Agora'!$B$4*2.51446176515337E-06</f>
        <v>0.14947469409130723</v>
      </c>
      <c r="AD75" s="123">
        <f>'Parameters | Agora'!$B$4*3.76072414315637E-06</f>
        <v>0.22356000741407359</v>
      </c>
      <c r="AE75" s="123">
        <f>'Parameters | Agora'!$B$4*3.76072414315637E-06</f>
        <v>0.22356000741407359</v>
      </c>
      <c r="AF75" s="123">
        <f>'Parameters | Agora'!$B$4*0.000281365323992451</f>
        <v>16.726043050055242</v>
      </c>
      <c r="AG75" s="123">
        <f>'Parameters | Agora'!$B$4*2.16674709593004E-06</f>
        <v>0.12880444786465714</v>
      </c>
      <c r="AH75" s="123">
        <f>'Parameters | Agora'!$B$4*0.0000049471547328837</f>
        <v>0.29408856025100444</v>
      </c>
      <c r="AI75" s="123">
        <f>'Parameters | Agora'!$B$4*1.85858160633438E-07</f>
        <v>1.1048524217015354E-2</v>
      </c>
      <c r="AJ75" s="123">
        <f>'Parameters | Agora'!$B$4*1.5159391260691E-08</f>
        <v>9.0116517288303709E-4</v>
      </c>
    </row>
    <row r="76" spans="1:36">
      <c r="A76" s="120" t="s">
        <v>458</v>
      </c>
      <c r="B76" s="120" t="s">
        <v>459</v>
      </c>
      <c r="C76" s="120" t="s">
        <v>115</v>
      </c>
      <c r="D76" s="120" t="s">
        <v>121</v>
      </c>
      <c r="E76" s="120" t="s">
        <v>316</v>
      </c>
      <c r="F76" s="121">
        <v>2023</v>
      </c>
      <c r="G76" s="123">
        <f>'Parameters | Agora'!$B$4*0.0000333570321462435</f>
        <v>1.982942132965591</v>
      </c>
      <c r="H76" s="123">
        <f>'Parameters | Agora'!$B$4*2.59532051350803E-06</f>
        <v>0.15428142324599836</v>
      </c>
      <c r="I76" s="123">
        <f>'Parameters | Agora'!$B$4*6.87384740765863E-07</f>
        <v>4.0862273299567493E-2</v>
      </c>
      <c r="J76" s="123">
        <f>'Parameters | Agora'!$B$4*4.88936917779182E-08</f>
        <v>2.9065344014301254E-3</v>
      </c>
      <c r="K76" s="123">
        <f>'Parameters | Agora'!$B$4*1.65467407126187E-07</f>
        <v>9.8363754840233124E-3</v>
      </c>
      <c r="L76" s="123">
        <f>'Parameters | Agora'!$B$4*7.28231373129231E-06</f>
        <v>0.43290442207040264</v>
      </c>
      <c r="M76" s="123">
        <f>'Parameters | Agora'!$B$4*0.0000399976764100526</f>
        <v>2.3777018718719867</v>
      </c>
      <c r="N76" s="123">
        <f>'Parameters | Agora'!$B$4*2.16902974072762E-07</f>
        <v>1.2894014196729409E-2</v>
      </c>
      <c r="O76" s="123">
        <f>'Parameters | Agora'!$B$4*0</f>
        <v>0</v>
      </c>
      <c r="P76" s="123">
        <f>'Parameters | Agora'!$B$4*0</f>
        <v>0</v>
      </c>
      <c r="Q76" s="123">
        <f>'Parameters | Agora'!$B$4*0.00000332</f>
        <v>0.19736071999999999</v>
      </c>
      <c r="R76" s="123">
        <f>'Parameters | Agora'!$B$4*0.000000228</f>
        <v>1.3553688E-2</v>
      </c>
      <c r="S76" s="123">
        <f>'Parameters | Agora'!$B$4*0.000000010795</f>
        <v>6.4171957000000001E-4</v>
      </c>
      <c r="T76" s="123">
        <f>'Parameters | Agora'!$B$4*1.12938914861309E-06</f>
        <v>6.7137667328453748E-2</v>
      </c>
      <c r="U76" s="123">
        <f>'Parameters | Agora'!$B$4*1.04138450740089E-06</f>
        <v>6.190614342695331E-2</v>
      </c>
      <c r="V76" s="123">
        <f>'Parameters | Agora'!$B$4*1.04138450740089E-06</f>
        <v>6.190614342695331E-2</v>
      </c>
      <c r="W76" s="123">
        <f>'Parameters | Agora'!$B$4*3.88785344054027E-06</f>
        <v>0.23111733562635689</v>
      </c>
      <c r="X76" s="123">
        <f>'Parameters | Agora'!$B$4*0.000531</f>
        <v>31.565826000000001</v>
      </c>
      <c r="Y76" s="123">
        <f>'Parameters | Agora'!$B$4*0.00137429620781644</f>
        <v>81.696412369856091</v>
      </c>
      <c r="Z76" s="123">
        <f>'Parameters | Agora'!$B$4*0.00129805365134347</f>
        <v>77.164097357763922</v>
      </c>
      <c r="AA76" s="123">
        <f>'Parameters | Agora'!$B$4*0.00143123685125827</f>
        <v>85.081305859899118</v>
      </c>
      <c r="AB76" s="123">
        <f>'Parameters | Agora'!$B$4*0.00000091</f>
        <v>5.4095859999999996E-2</v>
      </c>
      <c r="AC76" s="123">
        <f>'Parameters | Agora'!$B$4*0.0000294813438235873</f>
        <v>1.7525479649369706</v>
      </c>
      <c r="AD76" s="123">
        <f>'Parameters | Agora'!$B$4*0</f>
        <v>0</v>
      </c>
      <c r="AE76" s="123">
        <f>'Parameters | Agora'!$B$4*0</f>
        <v>0</v>
      </c>
      <c r="AF76" s="123">
        <f>'Parameters | Agora'!$B$4*0.000281365323992451</f>
        <v>16.726043050055242</v>
      </c>
      <c r="AG76" s="123">
        <f>'Parameters | Agora'!$B$4*0.0000010069140185386</f>
        <v>5.9857010746045609E-2</v>
      </c>
      <c r="AH76" s="123">
        <f>'Parameters | Agora'!$B$4*3.14308187577572E-08</f>
        <v>1.8684364518736342E-3</v>
      </c>
      <c r="AI76" s="123">
        <f>'Parameters | Agora'!$B$4*0</f>
        <v>0</v>
      </c>
      <c r="AJ76" s="123">
        <f>'Parameters | Agora'!$B$4*3.03967010453713E-09</f>
        <v>1.8069622903431424E-4</v>
      </c>
    </row>
    <row r="77" spans="1:36">
      <c r="A77" s="120" t="s">
        <v>460</v>
      </c>
      <c r="B77" s="120" t="s">
        <v>461</v>
      </c>
      <c r="C77" s="120" t="s">
        <v>115</v>
      </c>
      <c r="D77" s="120" t="s">
        <v>121</v>
      </c>
      <c r="E77" s="120" t="s">
        <v>316</v>
      </c>
      <c r="F77" s="121">
        <v>2023</v>
      </c>
      <c r="G77" s="123">
        <f>'Parameters | Agora'!$B$4*1.77357166532465E-06</f>
        <v>0.10543174121688914</v>
      </c>
      <c r="H77" s="123">
        <f>'Parameters | Agora'!$B$4*2.59532051350803E-06</f>
        <v>0.15428142324599836</v>
      </c>
      <c r="I77" s="123">
        <f>'Parameters | Agora'!$B$4*0.0000010606644954595</f>
        <v>6.3052261597085435E-2</v>
      </c>
      <c r="J77" s="123">
        <f>'Parameters | Agora'!$B$4*4.88936917779182E-08</f>
        <v>2.9065344014301254E-3</v>
      </c>
      <c r="K77" s="123">
        <f>'Parameters | Agora'!$B$4*2.55323392397315E-07</f>
        <v>1.5177954384450788E-2</v>
      </c>
      <c r="L77" s="123">
        <f>'Parameters | Agora'!$B$4*7.28231373129231E-06</f>
        <v>0.43290442207040264</v>
      </c>
      <c r="M77" s="123">
        <f>'Parameters | Agora'!$B$4*0.0000083357456240444</f>
        <v>0.49552673436694344</v>
      </c>
      <c r="N77" s="123">
        <f>'Parameters | Agora'!$B$4*1.94813373137227E-06</f>
        <v>0.11580875779515595</v>
      </c>
      <c r="O77" s="123">
        <f>'Parameters | Agora'!$B$4*7.31826254332303E-06</f>
        <v>0.4350414351503808</v>
      </c>
      <c r="P77" s="123">
        <f>'Parameters | Agora'!$B$4*9.54225281160364E-06</f>
        <v>0.56724876063858998</v>
      </c>
      <c r="Q77" s="123">
        <f>'Parameters | Agora'!$B$4*0.00000332</f>
        <v>0.19736071999999999</v>
      </c>
      <c r="R77" s="123">
        <f>'Parameters | Agora'!$B$4*0.000000228</f>
        <v>1.3553688E-2</v>
      </c>
      <c r="S77" s="123">
        <f>'Parameters | Agora'!$B$4*0.000000010795</f>
        <v>6.4171957000000001E-4</v>
      </c>
      <c r="T77" s="123">
        <f>'Parameters | Agora'!$B$4*9.20781920529877E-07</f>
        <v>5.4736802047819069E-2</v>
      </c>
      <c r="U77" s="123">
        <f>'Parameters | Agora'!$B$4*1.87739971964618E-07</f>
        <v>1.1160390373408682E-2</v>
      </c>
      <c r="V77" s="123">
        <f>'Parameters | Agora'!$B$4*1.87739971964618E-07</f>
        <v>1.1160390373408682E-2</v>
      </c>
      <c r="W77" s="123">
        <f>'Parameters | Agora'!$B$4*3.88785344054027E-06</f>
        <v>0.23111733562635689</v>
      </c>
      <c r="X77" s="123">
        <f>'Parameters | Agora'!$B$4*0.000531</f>
        <v>31.565826000000001</v>
      </c>
      <c r="Y77" s="123">
        <f>'Parameters | Agora'!$B$4*0.000202698555725138</f>
        <v>12.049618343636553</v>
      </c>
      <c r="Z77" s="123">
        <f>'Parameters | Agora'!$B$4*0.00019464662691395</f>
        <v>11.570963383526673</v>
      </c>
      <c r="AA77" s="123">
        <f>'Parameters | Agora'!$B$4*0.000217051994040735</f>
        <v>12.902872837745534</v>
      </c>
      <c r="AB77" s="123">
        <f>'Parameters | Agora'!$B$4*0.00000091</f>
        <v>5.4095859999999996E-2</v>
      </c>
      <c r="AC77" s="123">
        <f>'Parameters | Agora'!$B$4*1.56750384242732E-06</f>
        <v>9.3181833416934465E-2</v>
      </c>
      <c r="AD77" s="123">
        <f>'Parameters | Agora'!$B$4*3.40931351247525E-06</f>
        <v>0.20267005106260369</v>
      </c>
      <c r="AE77" s="123">
        <f>'Parameters | Agora'!$B$4*3.40931351247525E-06</f>
        <v>0.20267005106260369</v>
      </c>
      <c r="AF77" s="123">
        <f>'Parameters | Agora'!$B$4*0.000281365323992451</f>
        <v>16.726043050055242</v>
      </c>
      <c r="AG77" s="123">
        <f>'Parameters | Agora'!$B$4*1.60493131880243E-07</f>
        <v>9.5406747177529255E-3</v>
      </c>
      <c r="AH77" s="123">
        <f>'Parameters | Agora'!$B$4*3.66259639001717E-13</f>
        <v>2.177267050009607E-8</v>
      </c>
      <c r="AI77" s="123">
        <f>'Parameters | Agora'!$B$4*1.73640310812176E-08</f>
        <v>1.0322221916540615E-3</v>
      </c>
      <c r="AJ77" s="123">
        <f>'Parameters | Agora'!$B$4*9.88244274351859E-09</f>
        <v>5.8747169133120615E-4</v>
      </c>
    </row>
    <row r="78" spans="1:36">
      <c r="A78" s="120" t="s">
        <v>462</v>
      </c>
      <c r="B78" s="120" t="s">
        <v>463</v>
      </c>
      <c r="C78" s="120" t="s">
        <v>118</v>
      </c>
      <c r="D78" s="120" t="s">
        <v>325</v>
      </c>
      <c r="E78" s="120" t="s">
        <v>316</v>
      </c>
      <c r="F78" s="121">
        <v>2023</v>
      </c>
      <c r="G78" s="123">
        <f>'Parameters | Agora'!$B$4*0.000227250731585261</f>
        <v>13.509146989817426</v>
      </c>
      <c r="H78" s="123">
        <f>'Parameters | Agora'!$B$4*2.59532051350803E-06</f>
        <v>0.15428142324599836</v>
      </c>
      <c r="I78" s="123">
        <f>'Parameters | Agora'!$B$4*1.65065420728932E-06</f>
        <v>9.8124790006520912E-2</v>
      </c>
      <c r="J78" s="123">
        <f>'Parameters | Agora'!$B$4*2.87307050554589E-07</f>
        <v>1.7079254927268098E-2</v>
      </c>
      <c r="K78" s="123">
        <f>'Parameters | Agora'!$B$4*3.97345846574631E-07</f>
        <v>2.3620621195475512E-2</v>
      </c>
      <c r="L78" s="123">
        <f>'Parameters | Agora'!$B$4*7.28231373129231E-06</f>
        <v>0.43290442207040264</v>
      </c>
      <c r="M78" s="123">
        <f>'Parameters | Agora'!$B$4*0.0000976462711408984</f>
        <v>5.8046802342418458</v>
      </c>
      <c r="N78" s="123">
        <f>'Parameters | Agora'!$B$4*0.0000449736698311341</f>
        <v>2.6735047767815976</v>
      </c>
      <c r="O78" s="123">
        <f>'Parameters | Agora'!$B$4*0.000127785842720518</f>
        <v>7.5963572063639138</v>
      </c>
      <c r="P78" s="123">
        <f>'Parameters | Agora'!$B$4*0.000162489439398761</f>
        <v>9.6593472144987462</v>
      </c>
      <c r="Q78" s="123">
        <f>'Parameters | Agora'!$B$4*0.00000332</f>
        <v>0.19736071999999999</v>
      </c>
      <c r="R78" s="123">
        <f>'Parameters | Agora'!$B$4*0.000000228</f>
        <v>1.3553688E-2</v>
      </c>
      <c r="S78" s="123">
        <f>'Parameters | Agora'!$B$4*0.000000010795</f>
        <v>6.4171957000000001E-4</v>
      </c>
      <c r="T78" s="123">
        <f>'Parameters | Agora'!$B$4*0.000001894969195516</f>
        <v>0.11264833879664414</v>
      </c>
      <c r="U78" s="123">
        <f>'Parameters | Agora'!$B$4*4.72614826177772E-06</f>
        <v>0.28095060956963835</v>
      </c>
      <c r="V78" s="123">
        <f>'Parameters | Agora'!$B$4*4.72614826177772E-06</f>
        <v>0.28095060956963835</v>
      </c>
      <c r="W78" s="123">
        <f>'Parameters | Agora'!$B$4*3.88785344054027E-06</f>
        <v>0.23111733562635689</v>
      </c>
      <c r="X78" s="123">
        <f>'Parameters | Agora'!$B$4*0.000531</f>
        <v>31.565826000000001</v>
      </c>
      <c r="Y78" s="123">
        <f>'Parameters | Agora'!$B$4*0.00138645812115994</f>
        <v>82.419389470473803</v>
      </c>
      <c r="Z78" s="123">
        <f>'Parameters | Agora'!$B$4*0.00126099430074802</f>
        <v>74.96106720226679</v>
      </c>
      <c r="AA78" s="123">
        <f>'Parameters | Agora'!$B$4*0.00146549480097891</f>
        <v>87.117803938992282</v>
      </c>
      <c r="AB78" s="123">
        <f>'Parameters | Agora'!$B$4*0.00000091</f>
        <v>5.4095859999999996E-2</v>
      </c>
      <c r="AC78" s="123">
        <f>'Parameters | Agora'!$B$4*0.000200846913557965</f>
        <v>11.939545623366788</v>
      </c>
      <c r="AD78" s="123">
        <f>'Parameters | Agora'!$B$4*2.32532677662467E-06</f>
        <v>0.13823137556323015</v>
      </c>
      <c r="AE78" s="123">
        <f>'Parameters | Agora'!$B$4*2.32532677662467E-06</f>
        <v>0.13823137556323015</v>
      </c>
      <c r="AF78" s="123">
        <f>'Parameters | Agora'!$B$4*0.000281365323992451</f>
        <v>16.726043050055242</v>
      </c>
      <c r="AG78" s="123">
        <f>'Parameters | Agora'!$B$4*1.19943740242189E-06</f>
        <v>7.1301755824371676E-2</v>
      </c>
      <c r="AH78" s="123">
        <f>'Parameters | Agora'!$B$4*3.35600388715045E-06</f>
        <v>0.19950100707554563</v>
      </c>
      <c r="AI78" s="123">
        <f>'Parameters | Agora'!$B$4*1.58082845217172E-07</f>
        <v>9.3973928167800057E-3</v>
      </c>
      <c r="AJ78" s="123">
        <f>'Parameters | Agora'!$B$4*1.26241269882063E-08</f>
        <v>7.5045385294091179E-4</v>
      </c>
    </row>
    <row r="79" spans="1:36">
      <c r="A79" s="120" t="s">
        <v>464</v>
      </c>
      <c r="B79" s="120" t="s">
        <v>465</v>
      </c>
      <c r="C79" s="120" t="s">
        <v>114</v>
      </c>
      <c r="D79" s="120" t="s">
        <v>322</v>
      </c>
      <c r="E79" s="120" t="s">
        <v>316</v>
      </c>
      <c r="F79" s="121">
        <v>2023</v>
      </c>
      <c r="G79" s="123">
        <f>'Parameters | Agora'!$B$4*0.0000809900899650407</f>
        <v>4.8145368880618093</v>
      </c>
      <c r="H79" s="123">
        <f>'Parameters | Agora'!$B$4*2.59532051350803E-06</f>
        <v>0.15428142324599836</v>
      </c>
      <c r="I79" s="123">
        <f>'Parameters | Agora'!$B$4*1.12223491044154E-07</f>
        <v>6.6712376486107779E-3</v>
      </c>
      <c r="J79" s="123">
        <f>'Parameters | Agora'!$B$4*8.62473484142803E-08</f>
        <v>5.1270598738353068E-3</v>
      </c>
      <c r="K79" s="123">
        <f>'Parameters | Agora'!$B$4*2.70144636336204E-08</f>
        <v>1.6059018051641984E-3</v>
      </c>
      <c r="L79" s="123">
        <f>'Parameters | Agora'!$B$4*7.28231373129231E-06</f>
        <v>0.43290442207040264</v>
      </c>
      <c r="M79" s="123">
        <f>'Parameters | Agora'!$B$4*0.0000152723027199896</f>
        <v>0.90787730749250184</v>
      </c>
      <c r="N79" s="123">
        <f>'Parameters | Agora'!$B$4*5.03710402786904E-08</f>
        <v>2.9943568604070296E-3</v>
      </c>
      <c r="O79" s="123">
        <f>'Parameters | Agora'!$B$4*0.0000616886661312226</f>
        <v>3.6671444468366592</v>
      </c>
      <c r="P79" s="123">
        <f>'Parameters | Agora'!$B$4*0.000151712740128014</f>
        <v>9.0187155496499205</v>
      </c>
      <c r="Q79" s="123">
        <f>'Parameters | Agora'!$B$4*0.00000332</f>
        <v>0.19736071999999999</v>
      </c>
      <c r="R79" s="123">
        <f>'Parameters | Agora'!$B$4*0.000000228</f>
        <v>1.3553688E-2</v>
      </c>
      <c r="S79" s="123">
        <f>'Parameters | Agora'!$B$4*0.000000010795</f>
        <v>6.4171957000000001E-4</v>
      </c>
      <c r="T79" s="123">
        <f>'Parameters | Agora'!$B$4*3.30371779684582E-07</f>
        <v>1.963928081512966E-2</v>
      </c>
      <c r="U79" s="123">
        <f>'Parameters | Agora'!$B$4*1.17448880938191E-06</f>
        <v>6.9818661762517012E-2</v>
      </c>
      <c r="V79" s="123">
        <f>'Parameters | Agora'!$B$4*1.17448880938191E-06</f>
        <v>6.9818661762517012E-2</v>
      </c>
      <c r="W79" s="123">
        <f>'Parameters | Agora'!$B$4*3.88785344054027E-06</f>
        <v>0.23111733562635689</v>
      </c>
      <c r="X79" s="123">
        <f>'Parameters | Agora'!$B$4*0.000531</f>
        <v>31.565826000000001</v>
      </c>
      <c r="Y79" s="123">
        <f>'Parameters | Agora'!$B$4*0.000920251442992127</f>
        <v>54.705267280109979</v>
      </c>
      <c r="Z79" s="123">
        <f>'Parameters | Agora'!$B$4*0.000877902746804795</f>
        <v>52.187806686557849</v>
      </c>
      <c r="AA79" s="123">
        <f>'Parameters | Agora'!$B$4*0.000948325297767998</f>
        <v>56.374145651116407</v>
      </c>
      <c r="AB79" s="123">
        <f>'Parameters | Agora'!$B$4*0.00000091</f>
        <v>5.4095859999999996E-2</v>
      </c>
      <c r="AC79" s="123">
        <f>'Parameters | Agora'!$B$4*0.0000715800098190546</f>
        <v>4.2551452637035201</v>
      </c>
      <c r="AD79" s="123">
        <f>'Parameters | Agora'!$B$4*1.99506082086644E-07</f>
        <v>1.1859838555722639E-2</v>
      </c>
      <c r="AE79" s="123">
        <f>'Parameters | Agora'!$B$4*1.99506082086644E-07</f>
        <v>1.1859838555722639E-2</v>
      </c>
      <c r="AF79" s="123">
        <f>'Parameters | Agora'!$B$4*0.000281365323992451</f>
        <v>16.726043050055242</v>
      </c>
      <c r="AG79" s="123">
        <f>'Parameters | Agora'!$B$4*2.05552507608682E-07</f>
        <v>1.2219274367305711E-2</v>
      </c>
      <c r="AH79" s="123">
        <f>'Parameters | Agora'!$B$4*9.28507988591741E-07</f>
        <v>5.5196085889824636E-2</v>
      </c>
      <c r="AI79" s="123">
        <f>'Parameters | Agora'!$B$4*3.78840766628912E-08</f>
        <v>2.2520568213022303E-3</v>
      </c>
      <c r="AJ79" s="123">
        <f>'Parameters | Agora'!$B$4*2.54423651859287E-09</f>
        <v>1.5124468408427174E-4</v>
      </c>
    </row>
    <row r="80" spans="1:36">
      <c r="A80" s="120" t="s">
        <v>466</v>
      </c>
      <c r="B80" s="120" t="s">
        <v>467</v>
      </c>
      <c r="C80" s="120" t="s">
        <v>117</v>
      </c>
      <c r="D80" s="120" t="s">
        <v>325</v>
      </c>
      <c r="E80" s="120" t="s">
        <v>316</v>
      </c>
      <c r="F80" s="121">
        <v>2023</v>
      </c>
      <c r="G80" s="123">
        <f>'Parameters | Agora'!$B$4*0.0000841352146350016</f>
        <v>5.0015019691923053</v>
      </c>
      <c r="H80" s="123">
        <f>'Parameters | Agora'!$B$4*2.59532051350803E-06</f>
        <v>0.15428142324599836</v>
      </c>
      <c r="I80" s="123">
        <f>'Parameters | Agora'!$B$4*6.11122987590253E-07</f>
        <v>3.632881712029018E-2</v>
      </c>
      <c r="J80" s="123">
        <f>'Parameters | Agora'!$B$4*1.25062212908419E-07</f>
        <v>7.4344483085538758E-3</v>
      </c>
      <c r="K80" s="123">
        <f>'Parameters | Agora'!$B$4*1.47109661001643E-07</f>
        <v>8.7450809079036695E-3</v>
      </c>
      <c r="L80" s="123">
        <f>'Parameters | Agora'!$B$4*7.28231373129231E-06</f>
        <v>0.43290442207040264</v>
      </c>
      <c r="M80" s="123">
        <f>'Parameters | Agora'!$B$4*0.0000263372082115553</f>
        <v>1.5656416793441164</v>
      </c>
      <c r="N80" s="123">
        <f>'Parameters | Agora'!$B$4*3.42832995741028E-06</f>
        <v>0.20380050264821151</v>
      </c>
      <c r="O80" s="123">
        <f>'Parameters | Agora'!$B$4*0.0000133574804377288</f>
        <v>0.7940487821012262</v>
      </c>
      <c r="P80" s="123">
        <f>'Parameters | Agora'!$B$4*0.0000247886089547735</f>
        <v>1.4735836479254654</v>
      </c>
      <c r="Q80" s="123">
        <f>'Parameters | Agora'!$B$4*0.00000332</f>
        <v>0.19736071999999999</v>
      </c>
      <c r="R80" s="123">
        <f>'Parameters | Agora'!$B$4*0.000000228</f>
        <v>1.3553688E-2</v>
      </c>
      <c r="S80" s="123">
        <f>'Parameters | Agora'!$B$4*0.000000010795</f>
        <v>6.4171957000000001E-4</v>
      </c>
      <c r="T80" s="123">
        <f>'Parameters | Agora'!$B$4*1.11907414739073E-07</f>
        <v>6.6524481765789338E-3</v>
      </c>
      <c r="U80" s="123">
        <f>'Parameters | Agora'!$B$4*9.0406165334993E-08</f>
        <v>5.3742849045039943E-3</v>
      </c>
      <c r="V80" s="123">
        <f>'Parameters | Agora'!$B$4*9.0406165334993E-08</f>
        <v>5.3742849045039943E-3</v>
      </c>
      <c r="W80" s="123">
        <f>'Parameters | Agora'!$B$4*3.88785344054027E-06</f>
        <v>0.23111733562635689</v>
      </c>
      <c r="X80" s="123">
        <f>'Parameters | Agora'!$B$4*0.000531</f>
        <v>31.565826000000001</v>
      </c>
      <c r="Y80" s="123">
        <f>'Parameters | Agora'!$B$4*0.000776173309582699</f>
        <v>46.140398561453125</v>
      </c>
      <c r="Z80" s="123">
        <f>'Parameters | Agora'!$B$4*0.000753344682830267</f>
        <v>44.783328015528056</v>
      </c>
      <c r="AA80" s="123">
        <f>'Parameters | Agora'!$B$4*0.00083729511669405</f>
        <v>49.773845506994498</v>
      </c>
      <c r="AB80" s="123">
        <f>'Parameters | Agora'!$B$4*0.00000091</f>
        <v>5.4095859999999996E-2</v>
      </c>
      <c r="AC80" s="123">
        <f>'Parameters | Agora'!$B$4*0.0000743597086051052</f>
        <v>4.4203872377390834</v>
      </c>
      <c r="AD80" s="123">
        <f>'Parameters | Agora'!$B$4*8.52541397170925E-07</f>
        <v>5.0680175896222812E-2</v>
      </c>
      <c r="AE80" s="123">
        <f>'Parameters | Agora'!$B$4*8.52541397170925E-07</f>
        <v>5.0680175896222812E-2</v>
      </c>
      <c r="AF80" s="123">
        <f>'Parameters | Agora'!$B$4*0.000281365323992451</f>
        <v>16.726043050055242</v>
      </c>
      <c r="AG80" s="123">
        <f>'Parameters | Agora'!$B$4*5.53659617534405E-09</f>
        <v>3.2912849623950238E-4</v>
      </c>
      <c r="AH80" s="123">
        <f>'Parameters | Agora'!$B$4*8.3591468397916E-08</f>
        <v>4.9691784303825147E-3</v>
      </c>
      <c r="AI80" s="123">
        <f>'Parameters | Agora'!$B$4*4.65439163119356E-10</f>
        <v>2.7668496490793238E-5</v>
      </c>
      <c r="AJ80" s="123">
        <f>'Parameters | Agora'!$B$4*8.12661598613572E-10</f>
        <v>4.8309481391182404E-5</v>
      </c>
    </row>
    <row r="81" spans="1:36">
      <c r="A81" s="120" t="s">
        <v>468</v>
      </c>
      <c r="B81" s="120" t="s">
        <v>469</v>
      </c>
      <c r="C81" s="120" t="s">
        <v>117</v>
      </c>
      <c r="D81" s="120" t="s">
        <v>322</v>
      </c>
      <c r="E81" s="120" t="s">
        <v>316</v>
      </c>
      <c r="F81" s="121">
        <v>2023</v>
      </c>
      <c r="G81" s="123">
        <f>'Parameters | Agora'!$B$4*0.000112362256029524</f>
        <v>6.6794866719310839</v>
      </c>
      <c r="H81" s="123">
        <f>'Parameters | Agora'!$B$4*2.59532051350803E-06</f>
        <v>0.15428142324599836</v>
      </c>
      <c r="I81" s="123">
        <f>'Parameters | Agora'!$B$4*2.78293246619237E-07</f>
        <v>1.6543420338527161E-2</v>
      </c>
      <c r="J81" s="123">
        <f>'Parameters | Agora'!$B$4*1.25062212908419E-07</f>
        <v>7.4344483085538758E-3</v>
      </c>
      <c r="K81" s="123">
        <f>'Parameters | Agora'!$B$4*6.69908119978163E-08</f>
        <v>3.9823358100221874E-3</v>
      </c>
      <c r="L81" s="123">
        <f>'Parameters | Agora'!$B$4*7.28231373129231E-06</f>
        <v>0.43290442207040264</v>
      </c>
      <c r="M81" s="123">
        <f>'Parameters | Agora'!$B$4*3.51102699304445E-07</f>
        <v>2.0871651062852038E-2</v>
      </c>
      <c r="N81" s="123">
        <f>'Parameters | Agora'!$B$4*4.93032596369485E-07</f>
        <v>2.9308815723780409E-2</v>
      </c>
      <c r="O81" s="123">
        <f>'Parameters | Agora'!$B$4*4.66319940477961E-06</f>
        <v>0.27720855181652865</v>
      </c>
      <c r="P81" s="123">
        <f>'Parameters | Agora'!$B$4*0.0000027113945280156</f>
        <v>0.16118155911241536</v>
      </c>
      <c r="Q81" s="123">
        <f>'Parameters | Agora'!$B$4*0.00000332</f>
        <v>0.19736071999999999</v>
      </c>
      <c r="R81" s="123">
        <f>'Parameters | Agora'!$B$4*0.000000228</f>
        <v>1.3553688E-2</v>
      </c>
      <c r="S81" s="123">
        <f>'Parameters | Agora'!$B$4*0.000000010795</f>
        <v>6.4171957000000001E-4</v>
      </c>
      <c r="T81" s="123">
        <f>'Parameters | Agora'!$B$4*3.866175194265E-08</f>
        <v>2.2982865059827718E-3</v>
      </c>
      <c r="U81" s="123">
        <f>'Parameters | Agora'!$B$4*1.20036609385193E-08</f>
        <v>7.1356962815121838E-4</v>
      </c>
      <c r="V81" s="123">
        <f>'Parameters | Agora'!$B$4*1.20036609385193E-08</f>
        <v>7.1356962815121838E-4</v>
      </c>
      <c r="W81" s="123">
        <f>'Parameters | Agora'!$B$4*3.88785344054027E-06</f>
        <v>0.23111733562635689</v>
      </c>
      <c r="X81" s="123">
        <f>'Parameters | Agora'!$B$4*0.000531</f>
        <v>31.565826000000001</v>
      </c>
      <c r="Y81" s="123">
        <f>'Parameters | Agora'!$B$4*0.000858631082051685</f>
        <v>51.042183303644464</v>
      </c>
      <c r="Z81" s="123">
        <f>'Parameters | Agora'!$B$4*0.000807712007956994</f>
        <v>48.015248025011466</v>
      </c>
      <c r="AA81" s="123">
        <f>'Parameters | Agora'!$B$4*0.000938834087170791</f>
        <v>55.809931145954842</v>
      </c>
      <c r="AB81" s="123">
        <f>'Parameters | Agora'!$B$4*0.00000091</f>
        <v>5.4095859999999996E-2</v>
      </c>
      <c r="AC81" s="123">
        <f>'Parameters | Agora'!$B$4*0.000099307105268758</f>
        <v>5.9034101798065883</v>
      </c>
      <c r="AD81" s="123">
        <f>'Parameters | Agora'!$B$4*7.41417674314459E-07</f>
        <v>4.407431506729733E-2</v>
      </c>
      <c r="AE81" s="123">
        <f>'Parameters | Agora'!$B$4*7.41417674314459E-07</f>
        <v>4.407431506729733E-2</v>
      </c>
      <c r="AF81" s="123">
        <f>'Parameters | Agora'!$B$4*0.000281365323992451</f>
        <v>16.726043050055242</v>
      </c>
      <c r="AG81" s="123">
        <f>'Parameters | Agora'!$B$4*0</f>
        <v>0</v>
      </c>
      <c r="AH81" s="123">
        <f>'Parameters | Agora'!$B$4*9.93320005489733E-09</f>
        <v>5.9048901046342671E-4</v>
      </c>
      <c r="AI81" s="123">
        <f>'Parameters | Agora'!$B$4*1.66648642552349E-09</f>
        <v>9.9065952051669381E-5</v>
      </c>
      <c r="AJ81" s="123">
        <f>'Parameters | Agora'!$B$4*4.03974458098452E-10</f>
        <v>2.4014665636120578E-5</v>
      </c>
    </row>
    <row r="82" spans="1:36">
      <c r="A82" s="120" t="s">
        <v>470</v>
      </c>
      <c r="B82" s="120" t="s">
        <v>471</v>
      </c>
      <c r="C82" s="120" t="s">
        <v>115</v>
      </c>
      <c r="D82" s="120" t="s">
        <v>121</v>
      </c>
      <c r="E82" s="120" t="s">
        <v>316</v>
      </c>
      <c r="F82" s="121">
        <v>2023</v>
      </c>
      <c r="G82" s="123">
        <f>'Parameters | Agora'!$B$4*1.05371138256606E-06</f>
        <v>6.2638926848021997E-2</v>
      </c>
      <c r="H82" s="123">
        <f>'Parameters | Agora'!$B$4*2.59532051350803E-06</f>
        <v>0.15428142324599836</v>
      </c>
      <c r="I82" s="123">
        <f>'Parameters | Agora'!$B$4*8.10881823179739E-07</f>
        <v>4.8203680860742761E-2</v>
      </c>
      <c r="J82" s="123">
        <f>'Parameters | Agora'!$B$4*4.88936917779182E-08</f>
        <v>2.9065344014301254E-3</v>
      </c>
      <c r="K82" s="123">
        <f>'Parameters | Agora'!$B$4*1.9519565217263E-07</f>
        <v>1.1603600739054164E-2</v>
      </c>
      <c r="L82" s="123">
        <f>'Parameters | Agora'!$B$4*7.28231373129231E-06</f>
        <v>0.43290442207040264</v>
      </c>
      <c r="M82" s="123">
        <f>'Parameters | Agora'!$B$4*0.0000186384060359369</f>
        <v>1.107978685212305</v>
      </c>
      <c r="N82" s="123">
        <f>'Parameters | Agora'!$B$4*6.40874758293934E-06</f>
        <v>0.380974408815412</v>
      </c>
      <c r="O82" s="123">
        <f>'Parameters | Agora'!$B$4*0</f>
        <v>0</v>
      </c>
      <c r="P82" s="123">
        <f>'Parameters | Agora'!$B$4*0</f>
        <v>0</v>
      </c>
      <c r="Q82" s="123">
        <f>'Parameters | Agora'!$B$4*0.00000332</f>
        <v>0.19736071999999999</v>
      </c>
      <c r="R82" s="123">
        <f>'Parameters | Agora'!$B$4*0.000000228</f>
        <v>1.3553688E-2</v>
      </c>
      <c r="S82" s="123">
        <f>'Parameters | Agora'!$B$4*0.000000010795</f>
        <v>6.4171957000000001E-4</v>
      </c>
      <c r="T82" s="123">
        <f>'Parameters | Agora'!$B$4*1.45616932048891E-06</f>
        <v>8.6563441425783746E-2</v>
      </c>
      <c r="U82" s="123">
        <f>'Parameters | Agora'!$B$4*1.33159997654535E-06</f>
        <v>7.9158292205714881E-2</v>
      </c>
      <c r="V82" s="123">
        <f>'Parameters | Agora'!$B$4*1.33159997654535E-06</f>
        <v>7.9158292205714881E-2</v>
      </c>
      <c r="W82" s="123">
        <f>'Parameters | Agora'!$B$4*3.88785344054027E-06</f>
        <v>0.23111733562635689</v>
      </c>
      <c r="X82" s="123">
        <f>'Parameters | Agora'!$B$4*0.000531</f>
        <v>31.565826000000001</v>
      </c>
      <c r="Y82" s="123">
        <f>'Parameters | Agora'!$B$4*0.000301453292074425</f>
        <v>17.920192400656269</v>
      </c>
      <c r="Z82" s="123">
        <f>'Parameters | Agora'!$B$4*0.000275719474458316</f>
        <v>16.390419878649055</v>
      </c>
      <c r="AA82" s="123">
        <f>'Parameters | Agora'!$B$4*0.000319099338439758</f>
        <v>18.969179272889853</v>
      </c>
      <c r="AB82" s="123">
        <f>'Parameters | Agora'!$B$4*0.00000091</f>
        <v>5.4095859999999996E-2</v>
      </c>
      <c r="AC82" s="123">
        <f>'Parameters | Agora'!$B$4*9.31282717960746E-07</f>
        <v>5.5361032451894505E-2</v>
      </c>
      <c r="AD82" s="123">
        <f>'Parameters | Agora'!$B$4*7.1568468364402E-07</f>
        <v>4.2544591703902415E-2</v>
      </c>
      <c r="AE82" s="123">
        <f>'Parameters | Agora'!$B$4*7.1568468364402E-07</f>
        <v>4.2544591703902415E-2</v>
      </c>
      <c r="AF82" s="123">
        <f>'Parameters | Agora'!$B$4*0.000281365323992451</f>
        <v>16.726043050055242</v>
      </c>
      <c r="AG82" s="123">
        <f>'Parameters | Agora'!$B$4*1.18665438649277E-06</f>
        <v>7.0541856659449204E-2</v>
      </c>
      <c r="AH82" s="123">
        <f>'Parameters | Agora'!$B$4*9.60211904726985E-08</f>
        <v>5.7080756888400353E-3</v>
      </c>
      <c r="AI82" s="123">
        <f>'Parameters | Agora'!$B$4*4.19573302188359E-08</f>
        <v>2.494195452188919E-3</v>
      </c>
      <c r="AJ82" s="123">
        <f>'Parameters | Agora'!$B$4*6.9670693610458E-09</f>
        <v>4.1416440523672863E-4</v>
      </c>
    </row>
    <row r="83" spans="1:36">
      <c r="A83" s="120" t="s">
        <v>472</v>
      </c>
      <c r="B83" s="120" t="s">
        <v>473</v>
      </c>
      <c r="C83" s="120" t="s">
        <v>117</v>
      </c>
      <c r="D83" s="120" t="s">
        <v>121</v>
      </c>
      <c r="E83" s="120" t="s">
        <v>316</v>
      </c>
      <c r="F83" s="121">
        <v>2023</v>
      </c>
      <c r="G83" s="123">
        <f>'Parameters | Agora'!$B$4*8.67542046874732E-06</f>
        <v>0.5157190451851531</v>
      </c>
      <c r="H83" s="123">
        <f>'Parameters | Agora'!$B$4*2.59532051350803E-06</f>
        <v>0.15428142324599836</v>
      </c>
      <c r="I83" s="123">
        <f>'Parameters | Agora'!$B$4*1.20558976754372E-06</f>
        <v>7.1667489321403974E-2</v>
      </c>
      <c r="J83" s="123">
        <f>'Parameters | Agora'!$B$4*1.25062212908419E-07</f>
        <v>7.4344483085538758E-3</v>
      </c>
      <c r="K83" s="123">
        <f>'Parameters | Agora'!$B$4*2.90209836009833E-07</f>
        <v>1.7251813911440532E-2</v>
      </c>
      <c r="L83" s="123">
        <f>'Parameters | Agora'!$B$4*7.28231373129231E-06</f>
        <v>0.43290442207040264</v>
      </c>
      <c r="M83" s="123">
        <f>'Parameters | Agora'!$B$4*0</f>
        <v>0</v>
      </c>
      <c r="N83" s="123">
        <f>'Parameters | Agora'!$B$4*0</f>
        <v>0</v>
      </c>
      <c r="O83" s="123">
        <f>'Parameters | Agora'!$B$4*0.0000210576591947023</f>
        <v>1.251793608488273</v>
      </c>
      <c r="P83" s="123">
        <f>'Parameters | Agora'!$B$4*0.0000090825338639024</f>
        <v>0.53992030807354208</v>
      </c>
      <c r="Q83" s="123">
        <f>'Parameters | Agora'!$B$4*0.00000332</f>
        <v>0.19736071999999999</v>
      </c>
      <c r="R83" s="123">
        <f>'Parameters | Agora'!$B$4*0.000000228</f>
        <v>1.3553688E-2</v>
      </c>
      <c r="S83" s="123">
        <f>'Parameters | Agora'!$B$4*0.000000010795</f>
        <v>6.4171957000000001E-4</v>
      </c>
      <c r="T83" s="123">
        <f>'Parameters | Agora'!$B$4*4.93932933636799E-07</f>
        <v>2.9362337172973155E-2</v>
      </c>
      <c r="U83" s="123">
        <f>'Parameters | Agora'!$B$4*3.93420407638127E-07</f>
        <v>2.33872695524561E-2</v>
      </c>
      <c r="V83" s="123">
        <f>'Parameters | Agora'!$B$4*3.93420407638127E-07</f>
        <v>2.33872695524561E-2</v>
      </c>
      <c r="W83" s="123">
        <f>'Parameters | Agora'!$B$4*3.88785344054027E-06</f>
        <v>0.23111733562635689</v>
      </c>
      <c r="X83" s="123">
        <f>'Parameters | Agora'!$B$4*0.000531</f>
        <v>31.565826000000001</v>
      </c>
      <c r="Y83" s="123">
        <f>'Parameters | Agora'!$B$4*0.000315723270397475</f>
        <v>18.768485532048299</v>
      </c>
      <c r="Z83" s="123">
        <f>'Parameters | Agora'!$B$4*0.000288480584508017</f>
        <v>17.14901682666358</v>
      </c>
      <c r="AA83" s="123">
        <f>'Parameters | Agora'!$B$4*0.000318642129599917</f>
        <v>18.942000036196667</v>
      </c>
      <c r="AB83" s="123">
        <f>'Parameters | Agora'!$B$4*0.00000091</f>
        <v>5.4095859999999996E-2</v>
      </c>
      <c r="AC83" s="123">
        <f>'Parameters | Agora'!$B$4*7.66744033258154E-06</f>
        <v>0.45579865801064223</v>
      </c>
      <c r="AD83" s="123">
        <f>'Parameters | Agora'!$B$4*5.37830344182122E-06</f>
        <v>0.31971862640250426</v>
      </c>
      <c r="AE83" s="123">
        <f>'Parameters | Agora'!$B$4*5.37830344182122E-06</f>
        <v>0.31971862640250426</v>
      </c>
      <c r="AF83" s="123">
        <f>'Parameters | Agora'!$B$4*0.000281365323992451</f>
        <v>16.726043050055242</v>
      </c>
      <c r="AG83" s="123">
        <f>'Parameters | Agora'!$B$4*2.62810148049854E-07</f>
        <v>1.562301206097162E-2</v>
      </c>
      <c r="AH83" s="123">
        <f>'Parameters | Agora'!$B$4*1.39054552183798E-07</f>
        <v>8.2662369091180566E-3</v>
      </c>
      <c r="AI83" s="123">
        <f>-'Parameters | Agora'!$B$4*1.19636435688185E-08</f>
        <v>-7.1119075559198449E-4</v>
      </c>
      <c r="AJ83" s="123">
        <f>'Parameters | Agora'!$B$4*3.51935097329436E-09</f>
        <v>2.0921133795845652E-4</v>
      </c>
    </row>
    <row r="84" spans="1:36">
      <c r="A84" s="120" t="s">
        <v>474</v>
      </c>
      <c r="B84" s="120" t="s">
        <v>475</v>
      </c>
      <c r="C84" s="120" t="s">
        <v>115</v>
      </c>
      <c r="D84" s="120" t="s">
        <v>121</v>
      </c>
      <c r="E84" s="120" t="s">
        <v>316</v>
      </c>
      <c r="F84" s="121">
        <v>2023</v>
      </c>
      <c r="G84" s="123">
        <f>'Parameters | Agora'!$B$4*6.54481794358643E-06</f>
        <v>0.38906324747443888</v>
      </c>
      <c r="H84" s="123">
        <f>'Parameters | Agora'!$B$4*2.59532051350803E-06</f>
        <v>0.15428142324599836</v>
      </c>
      <c r="I84" s="123">
        <f>'Parameters | Agora'!$B$4*2.11291504523843E-06</f>
        <v>0.1256043477792437</v>
      </c>
      <c r="J84" s="123">
        <f>'Parameters | Agora'!$B$4*4.88936917779182E-08</f>
        <v>2.9065344014301254E-3</v>
      </c>
      <c r="K84" s="123">
        <f>'Parameters | Agora'!$B$4*5.08621377925817E-07</f>
        <v>3.0235506432178118E-2</v>
      </c>
      <c r="L84" s="123">
        <f>'Parameters | Agora'!$B$4*7.28231373129231E-06</f>
        <v>0.43290442207040264</v>
      </c>
      <c r="M84" s="123">
        <f>'Parameters | Agora'!$B$4*0.0000768476370117489</f>
        <v>4.5682846298004245</v>
      </c>
      <c r="N84" s="123">
        <f>'Parameters | Agora'!$B$4*0.0000704780139858498</f>
        <v>4.189636019402827</v>
      </c>
      <c r="O84" s="123">
        <f>'Parameters | Agora'!$B$4*0.000021012662626495</f>
        <v>1.2491187424946217</v>
      </c>
      <c r="P84" s="123">
        <f>'Parameters | Agora'!$B$4*0.000027405033346932</f>
        <v>1.6291196123417195</v>
      </c>
      <c r="Q84" s="123">
        <f>'Parameters | Agora'!$B$4*0.00000332</f>
        <v>0.19736071999999999</v>
      </c>
      <c r="R84" s="123">
        <f>'Parameters | Agora'!$B$4*0.000000228</f>
        <v>1.3553688E-2</v>
      </c>
      <c r="S84" s="123">
        <f>'Parameters | Agora'!$B$4*0.000000010795</f>
        <v>6.4171957000000001E-4</v>
      </c>
      <c r="T84" s="123">
        <f>'Parameters | Agora'!$B$4*0.0000043613557777517</f>
        <v>0.25926515556422752</v>
      </c>
      <c r="U84" s="123">
        <f>'Parameters | Agora'!$B$4*6.39595558286676E-06</f>
        <v>0.38021397557909742</v>
      </c>
      <c r="V84" s="123">
        <f>'Parameters | Agora'!$B$4*6.39595558286676E-06</f>
        <v>0.38021397557909742</v>
      </c>
      <c r="W84" s="123">
        <f>'Parameters | Agora'!$B$4*3.88785344054027E-06</f>
        <v>0.23111733562635689</v>
      </c>
      <c r="X84" s="123">
        <f>'Parameters | Agora'!$B$4*0.000531</f>
        <v>31.565826000000001</v>
      </c>
      <c r="Y84" s="123">
        <f>'Parameters | Agora'!$B$4*0.000591717623872823</f>
        <v>35.175245868743836</v>
      </c>
      <c r="Z84" s="123">
        <f>'Parameters | Agora'!$B$4*0.00051015879526588</f>
        <v>30.326899743375503</v>
      </c>
      <c r="AA84" s="123">
        <f>'Parameters | Agora'!$B$4*0.000612939563969528</f>
        <v>36.436805319732564</v>
      </c>
      <c r="AB84" s="123">
        <f>'Parameters | Agora'!$B$4*0.00000091</f>
        <v>5.4095859999999996E-2</v>
      </c>
      <c r="AC84" s="123">
        <f>'Parameters | Agora'!$B$4*5.78438834761216E-06</f>
        <v>0.34385874971215247</v>
      </c>
      <c r="AD84" s="123">
        <f>'Parameters | Agora'!$B$4*0.0000105886868245818</f>
        <v>0.62945507697408964</v>
      </c>
      <c r="AE84" s="123">
        <f>'Parameters | Agora'!$B$4*0.0000105886868245818</f>
        <v>0.62945507697408964</v>
      </c>
      <c r="AF84" s="123">
        <f>'Parameters | Agora'!$B$4*0.000281365323992451</f>
        <v>16.726043050055242</v>
      </c>
      <c r="AG84" s="123">
        <f>'Parameters | Agora'!$B$4*2.71557866179253E-06</f>
        <v>0.16143028912891874</v>
      </c>
      <c r="AH84" s="123">
        <f>'Parameters | Agora'!$B$4*3.17647281110276E-06</f>
        <v>0.18882860272881469</v>
      </c>
      <c r="AI84" s="123">
        <f>'Parameters | Agora'!$B$4*4.91677660123175E-07</f>
        <v>2.9228270183682258E-2</v>
      </c>
      <c r="AJ84" s="123">
        <f>'Parameters | Agora'!$B$4*1.2226449848297E-08</f>
        <v>7.2681353768186353E-4</v>
      </c>
    </row>
    <row r="85" spans="1:36">
      <c r="A85" s="120" t="s">
        <v>476</v>
      </c>
      <c r="B85" s="120" t="s">
        <v>477</v>
      </c>
      <c r="C85" s="120" t="s">
        <v>116</v>
      </c>
      <c r="D85" s="120" t="s">
        <v>322</v>
      </c>
      <c r="E85" s="120" t="s">
        <v>316</v>
      </c>
      <c r="F85" s="121">
        <v>2023</v>
      </c>
      <c r="G85" s="123">
        <f>'Parameters | Agora'!$B$4*0.000062962195718577</f>
        <v>3.7428506866865288</v>
      </c>
      <c r="H85" s="123">
        <f>'Parameters | Agora'!$B$4*2.59532051350803E-06</f>
        <v>0.15428142324599836</v>
      </c>
      <c r="I85" s="123">
        <f>'Parameters | Agora'!$B$4*1.06278384227496E-06</f>
        <v>6.3178248287877284E-2</v>
      </c>
      <c r="J85" s="123">
        <f>'Parameters | Agora'!$B$4*8.63343994036925E-08</f>
        <v>5.1322347069519044E-3</v>
      </c>
      <c r="K85" s="123">
        <f>'Parameters | Agora'!$B$4*2.55833562032393E-07</f>
        <v>1.5208281928577636E-2</v>
      </c>
      <c r="L85" s="123">
        <f>'Parameters | Agora'!$B$4*7.28231373129231E-06</f>
        <v>0.43290442207040264</v>
      </c>
      <c r="M85" s="123">
        <f>'Parameters | Agora'!$B$4*0.000135662497007918</f>
        <v>8.0645927971326934</v>
      </c>
      <c r="N85" s="123">
        <f>'Parameters | Agora'!$B$4*0</f>
        <v>0</v>
      </c>
      <c r="O85" s="123">
        <f>'Parameters | Agora'!$B$4*0</f>
        <v>0</v>
      </c>
      <c r="P85" s="123">
        <f>'Parameters | Agora'!$B$4*0</f>
        <v>0</v>
      </c>
      <c r="Q85" s="123">
        <f>'Parameters | Agora'!$B$4*0.00000332</f>
        <v>0.19736071999999999</v>
      </c>
      <c r="R85" s="123">
        <f>'Parameters | Agora'!$B$4*0.000000228</f>
        <v>1.3553688E-2</v>
      </c>
      <c r="S85" s="123">
        <f>'Parameters | Agora'!$B$4*0.000000010795</f>
        <v>6.4171957000000001E-4</v>
      </c>
      <c r="T85" s="123">
        <f>'Parameters | Agora'!$B$4*3.95991733196809E-06</f>
        <v>0.2354012457161751</v>
      </c>
      <c r="U85" s="123">
        <f>'Parameters | Agora'!$B$4*5.98361597959619E-06</f>
        <v>0.35570203552307511</v>
      </c>
      <c r="V85" s="123">
        <f>'Parameters | Agora'!$B$4*5.98361597959619E-06</f>
        <v>0.35570203552307511</v>
      </c>
      <c r="W85" s="123">
        <f>'Parameters | Agora'!$B$4*3.88785344054027E-06</f>
        <v>0.23111733562635689</v>
      </c>
      <c r="X85" s="123">
        <f>'Parameters | Agora'!$B$4*0.000531</f>
        <v>31.565826000000001</v>
      </c>
      <c r="Y85" s="123">
        <f>'Parameters | Agora'!$B$4*0.000392019006772417</f>
        <v>23.303961876593103</v>
      </c>
      <c r="Z85" s="123">
        <f>'Parameters | Agora'!$B$4*0.000363470083824729</f>
        <v>21.606842603044843</v>
      </c>
      <c r="AA85" s="123">
        <f>'Parameters | Agora'!$B$4*0.000417395827170362</f>
        <v>24.812512341969338</v>
      </c>
      <c r="AB85" s="123">
        <f>'Parameters | Agora'!$B$4*0.00000091</f>
        <v>5.4095859999999996E-2</v>
      </c>
      <c r="AC85" s="123">
        <f>'Parameters | Agora'!$B$4*0.0000556467413446553</f>
        <v>3.307976185974379</v>
      </c>
      <c r="AD85" s="123">
        <f>'Parameters | Agora'!$B$4*6.79564250231237E-06</f>
        <v>0.40397376419246112</v>
      </c>
      <c r="AE85" s="123">
        <f>'Parameters | Agora'!$B$4*6.79564250231237E-06</f>
        <v>0.40397376419246112</v>
      </c>
      <c r="AF85" s="123">
        <f>'Parameters | Agora'!$B$4*0.000281365323992451</f>
        <v>16.726043050055242</v>
      </c>
      <c r="AG85" s="123">
        <f>'Parameters | Agora'!$B$4*2.08434285735825E-06</f>
        <v>0.12390584549851853</v>
      </c>
      <c r="AH85" s="123">
        <f>'Parameters | Agora'!$B$4*3.16625669265762E-06</f>
        <v>0.18822129535172488</v>
      </c>
      <c r="AI85" s="123">
        <f>'Parameters | Agora'!$B$4*7.11920569025607E-07</f>
        <v>4.2320830146296229E-2</v>
      </c>
      <c r="AJ85" s="123">
        <f>'Parameters | Agora'!$B$4*2.10958605547136E-08</f>
        <v>1.2540645265355047E-3</v>
      </c>
    </row>
    <row r="86" spans="1:36">
      <c r="A86" s="120" t="s">
        <v>478</v>
      </c>
      <c r="B86" s="120" t="s">
        <v>479</v>
      </c>
      <c r="C86" s="120" t="s">
        <v>114</v>
      </c>
      <c r="D86" s="120" t="s">
        <v>121</v>
      </c>
      <c r="E86" s="120" t="s">
        <v>316</v>
      </c>
      <c r="F86" s="121">
        <v>2023</v>
      </c>
      <c r="G86" s="123">
        <f>'Parameters | Agora'!$B$4*9.29848600081245E-06</f>
        <v>0.55275779880429687</v>
      </c>
      <c r="H86" s="123">
        <f>'Parameters | Agora'!$B$4*2.59532051350803E-06</f>
        <v>0.15428142324599836</v>
      </c>
      <c r="I86" s="123">
        <f>'Parameters | Agora'!$B$4*0.0000042544854326091</f>
        <v>0.25291214102688053</v>
      </c>
      <c r="J86" s="123">
        <f>'Parameters | Agora'!$B$4*8.62473484142803E-08</f>
        <v>5.1270598738353068E-3</v>
      </c>
      <c r="K86" s="123">
        <f>'Parameters | Agora'!$B$4*1.02414067615992E-06</f>
        <v>6.0881066635002611E-2</v>
      </c>
      <c r="L86" s="123">
        <f>'Parameters | Agora'!$B$4*7.28231373129231E-06</f>
        <v>0.43290442207040264</v>
      </c>
      <c r="M86" s="123">
        <f>'Parameters | Agora'!$B$4*0.000299350175921336</f>
        <v>17.795170557819741</v>
      </c>
      <c r="N86" s="123">
        <f>'Parameters | Agora'!$B$4*0.000260605781796896</f>
        <v>15.49197130469828</v>
      </c>
      <c r="O86" s="123">
        <f>'Parameters | Agora'!$B$4*0.0000516652351501188</f>
        <v>3.0712915687339621</v>
      </c>
      <c r="P86" s="123">
        <f>'Parameters | Agora'!$B$4*0.0000430968337926428</f>
        <v>2.5619343816374438</v>
      </c>
      <c r="Q86" s="123">
        <f>'Parameters | Agora'!$B$4*0.00000332</f>
        <v>0.19736071999999999</v>
      </c>
      <c r="R86" s="123">
        <f>'Parameters | Agora'!$B$4*0.000000228</f>
        <v>1.3553688E-2</v>
      </c>
      <c r="S86" s="123">
        <f>'Parameters | Agora'!$B$4*0.000000010795</f>
        <v>6.4171957000000001E-4</v>
      </c>
      <c r="T86" s="123">
        <f>'Parameters | Agora'!$B$4*7.60916406387211E-06</f>
        <v>0.45233436694094142</v>
      </c>
      <c r="U86" s="123">
        <f>'Parameters | Agora'!$B$4*8.08598455310284E-06</f>
        <v>0.48067943774375138</v>
      </c>
      <c r="V86" s="123">
        <f>'Parameters | Agora'!$B$4*8.08598455310284E-06</f>
        <v>0.48067943774375138</v>
      </c>
      <c r="W86" s="123">
        <f>'Parameters | Agora'!$B$4*3.88785344054027E-06</f>
        <v>0.23111733562635689</v>
      </c>
      <c r="X86" s="123">
        <f>'Parameters | Agora'!$B$4*0.000531</f>
        <v>31.565826000000001</v>
      </c>
      <c r="Y86" s="123">
        <f>'Parameters | Agora'!$B$4*0.000545502353167492</f>
        <v>32.427932886394728</v>
      </c>
      <c r="Z86" s="123">
        <f>'Parameters | Agora'!$B$4*0.000493166334044411</f>
        <v>29.316765893604057</v>
      </c>
      <c r="AA86" s="123">
        <f>'Parameters | Agora'!$B$4*0.000558586357948262</f>
        <v>33.205724634592379</v>
      </c>
      <c r="AB86" s="123">
        <f>'Parameters | Agora'!$B$4*0.00000091</f>
        <v>5.4095859999999996E-2</v>
      </c>
      <c r="AC86" s="123">
        <f>'Parameters | Agora'!$B$4*8.21811309911863E-06</f>
        <v>0.4885339512902061</v>
      </c>
      <c r="AD86" s="123">
        <f>'Parameters | Agora'!$B$4*5.28385027304078E-06</f>
        <v>0.31410376333118223</v>
      </c>
      <c r="AE86" s="123">
        <f>'Parameters | Agora'!$B$4*5.28385027304078E-06</f>
        <v>0.31410376333118223</v>
      </c>
      <c r="AF86" s="123">
        <f>'Parameters | Agora'!$B$4*0.000281365323992451</f>
        <v>16.726043050055242</v>
      </c>
      <c r="AG86" s="123">
        <f>'Parameters | Agora'!$B$4*0.0000052908511059654</f>
        <v>0.31451993484521917</v>
      </c>
      <c r="AH86" s="123">
        <f>'Parameters | Agora'!$B$4*2.16411322478107E-06</f>
        <v>0.12864787476033548</v>
      </c>
      <c r="AI86" s="123">
        <f>'Parameters | Agora'!$B$4*5.80081885872357E-07</f>
        <v>3.4483547787568132E-2</v>
      </c>
      <c r="AJ86" s="123">
        <f>'Parameters | Agora'!$B$4*5.09383364840159E-08</f>
        <v>3.0280803506288092E-3</v>
      </c>
    </row>
    <row r="87" spans="1:36">
      <c r="A87" s="120" t="s">
        <v>480</v>
      </c>
      <c r="B87" s="120" t="s">
        <v>481</v>
      </c>
      <c r="C87" s="120" t="s">
        <v>117</v>
      </c>
      <c r="D87" s="120" t="s">
        <v>325</v>
      </c>
      <c r="E87" s="120" t="s">
        <v>316</v>
      </c>
      <c r="F87" s="121">
        <v>2023</v>
      </c>
      <c r="G87" s="123">
        <f>'Parameters | Agora'!$B$4*0.000103287110517419</f>
        <v>6.1400055718184898</v>
      </c>
      <c r="H87" s="123">
        <f>'Parameters | Agora'!$B$4*2.59532051350803E-06</f>
        <v>0.15428142324599836</v>
      </c>
      <c r="I87" s="123">
        <f>'Parameters | Agora'!$B$4*7.50234343999765E-07</f>
        <v>4.4598430813410035E-2</v>
      </c>
      <c r="J87" s="123">
        <f>'Parameters | Agora'!$B$4*1.25062212908419E-07</f>
        <v>7.4344483085538758E-3</v>
      </c>
      <c r="K87" s="123">
        <f>'Parameters | Agora'!$B$4*1.80596577544542E-07</f>
        <v>1.0735744148712844E-2</v>
      </c>
      <c r="L87" s="123">
        <f>'Parameters | Agora'!$B$4*7.28231373129231E-06</f>
        <v>0.43290442207040264</v>
      </c>
      <c r="M87" s="123">
        <f>'Parameters | Agora'!$B$4*0.0000541181285834329</f>
        <v>3.2171062717707524</v>
      </c>
      <c r="N87" s="123">
        <f>'Parameters | Agora'!$B$4*0.0000433616650478556</f>
        <v>2.577677540434824</v>
      </c>
      <c r="O87" s="123">
        <f>'Parameters | Agora'!$B$4*0</f>
        <v>0</v>
      </c>
      <c r="P87" s="123">
        <f>'Parameters | Agora'!$B$4*0</f>
        <v>0</v>
      </c>
      <c r="Q87" s="123">
        <f>'Parameters | Agora'!$B$4*0.00000332</f>
        <v>0.19736071999999999</v>
      </c>
      <c r="R87" s="123">
        <f>'Parameters | Agora'!$B$4*0.000000228</f>
        <v>1.3553688E-2</v>
      </c>
      <c r="S87" s="123">
        <f>'Parameters | Agora'!$B$4*0.000000010795</f>
        <v>6.4171957000000001E-4</v>
      </c>
      <c r="T87" s="123">
        <f>'Parameters | Agora'!$B$4*1.05523341845394E-07</f>
        <v>6.2729405793412914E-3</v>
      </c>
      <c r="U87" s="123">
        <f>'Parameters | Agora'!$B$4*1.61959905262601E-08</f>
        <v>9.6278685282405788E-4</v>
      </c>
      <c r="V87" s="123">
        <f>'Parameters | Agora'!$B$4*1.61959905262601E-08</f>
        <v>9.6278685282405788E-4</v>
      </c>
      <c r="W87" s="123">
        <f>'Parameters | Agora'!$B$4*3.88785344054027E-06</f>
        <v>0.23111733562635689</v>
      </c>
      <c r="X87" s="123">
        <f>'Parameters | Agora'!$B$4*0.000531</f>
        <v>31.565826000000001</v>
      </c>
      <c r="Y87" s="123">
        <f>'Parameters | Agora'!$B$4*0.000400937743224323</f>
        <v>23.834145083713103</v>
      </c>
      <c r="Z87" s="123">
        <f>'Parameters | Agora'!$B$4*0.000410236647203241</f>
        <v>24.386927729643865</v>
      </c>
      <c r="AA87" s="123">
        <f>'Parameters | Agora'!$B$4*0.000399232944161522</f>
        <v>23.732801598625837</v>
      </c>
      <c r="AB87" s="123">
        <f>'Parameters | Agora'!$B$4*0.00000091</f>
        <v>5.4095859999999996E-2</v>
      </c>
      <c r="AC87" s="123">
        <f>'Parameters | Agora'!$B$4*0.0000912863831637914</f>
        <v>5.426610333554744</v>
      </c>
      <c r="AD87" s="123">
        <f>'Parameters | Agora'!$B$4*2.13029889944834E-06</f>
        <v>0.12663774837660602</v>
      </c>
      <c r="AE87" s="123">
        <f>'Parameters | Agora'!$B$4*2.13029889944834E-06</f>
        <v>0.12663774837660602</v>
      </c>
      <c r="AF87" s="123">
        <f>'Parameters | Agora'!$B$4*0.000281365323992451</f>
        <v>16.726043050055242</v>
      </c>
      <c r="AG87" s="123">
        <f>'Parameters | Agora'!$B$4*0</f>
        <v>0</v>
      </c>
      <c r="AH87" s="123">
        <f>'Parameters | Agora'!$B$4*1.39425793202381E-08</f>
        <v>8.2883057027087405E-4</v>
      </c>
      <c r="AI87" s="123">
        <f>'Parameters | Agora'!$B$4*1.68353493542971E-09</f>
        <v>1.0007941777155455E-4</v>
      </c>
      <c r="AJ87" s="123">
        <f>'Parameters | Agora'!$B$4*5.69876270592277E-10</f>
        <v>3.3876864781628494E-5</v>
      </c>
    </row>
    <row r="88" spans="1:36">
      <c r="A88" s="120" t="s">
        <v>482</v>
      </c>
      <c r="B88" s="120" t="s">
        <v>483</v>
      </c>
      <c r="C88" s="120" t="s">
        <v>115</v>
      </c>
      <c r="D88" s="120" t="s">
        <v>322</v>
      </c>
      <c r="E88" s="120" t="s">
        <v>316</v>
      </c>
      <c r="F88" s="121">
        <v>2023</v>
      </c>
      <c r="G88" s="123">
        <f>'Parameters | Agora'!$B$4*0.000040317411677522</f>
        <v>2.396708854581973</v>
      </c>
      <c r="H88" s="123">
        <f>'Parameters | Agora'!$B$4*2.59532051350803E-06</f>
        <v>0.15428142324599836</v>
      </c>
      <c r="I88" s="123">
        <f>'Parameters | Agora'!$B$4*2.05086429909641E-07</f>
        <v>1.2191567912408519E-2</v>
      </c>
      <c r="J88" s="123">
        <f>'Parameters | Agora'!$B$4*4.88936917779182E-08</f>
        <v>2.9065344014301254E-3</v>
      </c>
      <c r="K88" s="123">
        <f>'Parameters | Agora'!$B$4*4.9368450856365E-08</f>
        <v>2.9347569296074736E-3</v>
      </c>
      <c r="L88" s="123">
        <f>'Parameters | Agora'!$B$4*7.28231373129231E-06</f>
        <v>0.43290442207040264</v>
      </c>
      <c r="M88" s="123">
        <f>'Parameters | Agora'!$B$4*8.97063313780725E-07</f>
        <v>5.3326825751008979E-2</v>
      </c>
      <c r="N88" s="123">
        <f>'Parameters | Agora'!$B$4*1.31677236312412E-07</f>
        <v>7.8276849898276449E-3</v>
      </c>
      <c r="O88" s="123">
        <f>'Parameters | Agora'!$B$4*0.000029362876382125</f>
        <v>1.7455055494118028</v>
      </c>
      <c r="P88" s="123">
        <f>'Parameters | Agora'!$B$4*0.0000267169569126151</f>
        <v>1.5882162206273174</v>
      </c>
      <c r="Q88" s="123">
        <f>'Parameters | Agora'!$B$4*0.00000332</f>
        <v>0.19736071999999999</v>
      </c>
      <c r="R88" s="123">
        <f>'Parameters | Agora'!$B$4*0.000000228</f>
        <v>1.3553688E-2</v>
      </c>
      <c r="S88" s="123">
        <f>'Parameters | Agora'!$B$4*0.000000010795</f>
        <v>6.4171957000000001E-4</v>
      </c>
      <c r="T88" s="123">
        <f>'Parameters | Agora'!$B$4*6.94666046078042E-08</f>
        <v>4.1295117775155283E-3</v>
      </c>
      <c r="U88" s="123">
        <f>'Parameters | Agora'!$B$4*3.59025626341803E-08</f>
        <v>2.1342637383514819E-3</v>
      </c>
      <c r="V88" s="123">
        <f>'Parameters | Agora'!$B$4*3.59025626341803E-08</f>
        <v>2.1342637383514819E-3</v>
      </c>
      <c r="W88" s="123">
        <f>'Parameters | Agora'!$B$4*3.88785344054027E-06</f>
        <v>0.23111733562635689</v>
      </c>
      <c r="X88" s="123">
        <f>'Parameters | Agora'!$B$4*0.000531</f>
        <v>31.565826000000001</v>
      </c>
      <c r="Y88" s="123">
        <f>'Parameters | Agora'!$B$4*0.00113267952939207</f>
        <v>67.333267304240991</v>
      </c>
      <c r="Z88" s="123">
        <f>'Parameters | Agora'!$B$4*0.00101300018289027</f>
        <v>60.218808872094989</v>
      </c>
      <c r="AA88" s="123">
        <f>'Parameters | Agora'!$B$4*0.00151479858572283</f>
        <v>90.048716726879348</v>
      </c>
      <c r="AB88" s="123">
        <f>'Parameters | Agora'!$B$4*0.00000091</f>
        <v>5.4095859999999996E-2</v>
      </c>
      <c r="AC88" s="123">
        <f>'Parameters | Agora'!$B$4*0.0000356330104708069</f>
        <v>2.1182399404475869</v>
      </c>
      <c r="AD88" s="123">
        <f>'Parameters | Agora'!$B$4*8.45201964850698E-07</f>
        <v>5.0243876002514593E-2</v>
      </c>
      <c r="AE88" s="123">
        <f>'Parameters | Agora'!$B$4*8.45201964850698E-07</f>
        <v>5.0243876002514593E-2</v>
      </c>
      <c r="AF88" s="123">
        <f>'Parameters | Agora'!$B$4*0.000281365323992451</f>
        <v>16.726043050055242</v>
      </c>
      <c r="AG88" s="123">
        <f>'Parameters | Agora'!$B$4*3.43795602286265E-08</f>
        <v>2.043727337350931E-3</v>
      </c>
      <c r="AH88" s="123">
        <f>'Parameters | Agora'!$B$4*6.84529414579277E-10</f>
        <v>4.0692535579079698E-5</v>
      </c>
      <c r="AI88" s="123">
        <f>'Parameters | Agora'!$B$4*5.3552698812524E-10</f>
        <v>3.1834937336093014E-5</v>
      </c>
      <c r="AJ88" s="123">
        <f>'Parameters | Agora'!$B$4*3.02946002849323E-10</f>
        <v>1.8008928085380853E-5</v>
      </c>
    </row>
    <row r="89" spans="1:36">
      <c r="A89" s="120" t="s">
        <v>484</v>
      </c>
      <c r="B89" s="120" t="s">
        <v>485</v>
      </c>
      <c r="C89" s="120" t="s">
        <v>119</v>
      </c>
      <c r="D89" s="120" t="s">
        <v>325</v>
      </c>
      <c r="E89" s="120" t="s">
        <v>316</v>
      </c>
      <c r="F89" s="121">
        <v>2023</v>
      </c>
      <c r="G89" s="123">
        <f>'Parameters | Agora'!$B$4*0.000133925154934311</f>
        <v>7.9613147602250516</v>
      </c>
      <c r="H89" s="123">
        <f>'Parameters | Agora'!$B$4*2.59532051350803E-06</f>
        <v>0.15428142324599836</v>
      </c>
      <c r="I89" s="123">
        <f>'Parameters | Agora'!$B$4*9.72776276283426E-07</f>
        <v>5.7827658519944543E-2</v>
      </c>
      <c r="J89" s="123">
        <f>'Parameters | Agora'!$B$4*2.24299408328451E-07</f>
        <v>1.3333702627493097E-2</v>
      </c>
      <c r="K89" s="123">
        <f>'Parameters | Agora'!$B$4*2.34166920800636E-07</f>
        <v>1.3920286773914608E-2</v>
      </c>
      <c r="L89" s="123">
        <f>'Parameters | Agora'!$B$4*7.28231373129231E-06</f>
        <v>0.43290442207040264</v>
      </c>
      <c r="M89" s="123">
        <f>'Parameters | Agora'!$B$4*0.00030467545508861</f>
        <v>18.111737103197509</v>
      </c>
      <c r="N89" s="123">
        <f>'Parameters | Agora'!$B$4*0.00018769661832886</f>
        <v>11.157813173177413</v>
      </c>
      <c r="O89" s="123">
        <f>'Parameters | Agora'!$B$4*0.000983685977552802</f>
        <v>58.476196621603862</v>
      </c>
      <c r="P89" s="123">
        <f>'Parameters | Agora'!$B$4*0.000444161718643978</f>
        <v>26.403637526509915</v>
      </c>
      <c r="Q89" s="123">
        <f>'Parameters | Agora'!$B$4*0.00000332</f>
        <v>0.19736071999999999</v>
      </c>
      <c r="R89" s="123">
        <f>'Parameters | Agora'!$B$4*0.000000228</f>
        <v>1.3553688E-2</v>
      </c>
      <c r="S89" s="123">
        <f>'Parameters | Agora'!$B$4*0.000000010795</f>
        <v>6.4171957000000001E-4</v>
      </c>
      <c r="T89" s="123">
        <f>'Parameters | Agora'!$B$4*1.49371224318191E-07</f>
        <v>8.8795218008191831E-3</v>
      </c>
      <c r="U89" s="123">
        <f>'Parameters | Agora'!$B$4*2.9935017536376E-09</f>
        <v>1.7795170524674079E-4</v>
      </c>
      <c r="V89" s="123">
        <f>'Parameters | Agora'!$B$4*2.9935017536376E-09</f>
        <v>1.7795170524674079E-4</v>
      </c>
      <c r="W89" s="123">
        <f>'Parameters | Agora'!$B$4*3.88785344054027E-06</f>
        <v>0.23111733562635689</v>
      </c>
      <c r="X89" s="123">
        <f>'Parameters | Agora'!$B$4*0.000531</f>
        <v>31.565826000000001</v>
      </c>
      <c r="Y89" s="123">
        <f>'Parameters | Agora'!$B$4*0.00036745194181853</f>
        <v>21.843548133344335</v>
      </c>
      <c r="Z89" s="123">
        <f>'Parameters | Agora'!$B$4*0.00037214781327947</f>
        <v>22.122698908211373</v>
      </c>
      <c r="AA89" s="123">
        <f>'Parameters | Agora'!$B$4*0.000361875594458664</f>
        <v>21.51205658818974</v>
      </c>
      <c r="AB89" s="123">
        <f>'Parameters | Agora'!$B$4*0.00000091</f>
        <v>5.4095859999999996E-2</v>
      </c>
      <c r="AC89" s="123">
        <f>'Parameters | Agora'!$B$4*0.000118364653124282</f>
        <v>7.0363051696260674</v>
      </c>
      <c r="AD89" s="123">
        <f>'Parameters | Agora'!$B$4*2.85170113182836E-07</f>
        <v>1.6952222548266869E-2</v>
      </c>
      <c r="AE89" s="123">
        <f>'Parameters | Agora'!$B$4*2.85170113182836E-07</f>
        <v>1.6952222548266869E-2</v>
      </c>
      <c r="AF89" s="123">
        <f>'Parameters | Agora'!$B$4*0.000281365323992451</f>
        <v>16.726043050055242</v>
      </c>
      <c r="AG89" s="123">
        <f>'Parameters | Agora'!$B$4*0</f>
        <v>0</v>
      </c>
      <c r="AH89" s="123">
        <f>'Parameters | Agora'!$B$4*1.70687943119428E-12</f>
        <v>1.0146715466677517E-7</v>
      </c>
      <c r="AI89" s="123">
        <f>-'Parameters | Agora'!$B$4*1.34339609735886E-09</f>
        <v>-7.985952440359479E-5</v>
      </c>
      <c r="AJ89" s="123">
        <f>'Parameters | Agora'!$B$4*4.33519097156527E-09</f>
        <v>2.5770976249566904E-4</v>
      </c>
    </row>
    <row r="90" spans="1:36">
      <c r="A90" s="120" t="s">
        <v>486</v>
      </c>
      <c r="B90" s="120" t="s">
        <v>487</v>
      </c>
      <c r="C90" s="120" t="s">
        <v>114</v>
      </c>
      <c r="D90" s="120" t="s">
        <v>325</v>
      </c>
      <c r="E90" s="120" t="s">
        <v>316</v>
      </c>
      <c r="F90" s="121">
        <v>2023</v>
      </c>
      <c r="G90" s="123">
        <f>'Parameters | Agora'!$B$4*0.0000631131262728698</f>
        <v>3.7518229044170179</v>
      </c>
      <c r="H90" s="123">
        <f>'Parameters | Agora'!$B$4*2.59532051350803E-06</f>
        <v>0.15428142324599836</v>
      </c>
      <c r="I90" s="123">
        <f>'Parameters | Agora'!$B$4*4.58427335704346E-07</f>
        <v>2.7251671398280553E-2</v>
      </c>
      <c r="J90" s="123">
        <f>'Parameters | Agora'!$B$4*8.62473484142803E-08</f>
        <v>5.1270598738353068E-3</v>
      </c>
      <c r="K90" s="123">
        <f>'Parameters | Agora'!$B$4*1.10352729841295E-07</f>
        <v>6.5600283781456232E-3</v>
      </c>
      <c r="L90" s="123">
        <f>'Parameters | Agora'!$B$4*7.28231373129231E-06</f>
        <v>0.43290442207040264</v>
      </c>
      <c r="M90" s="123">
        <f>'Parameters | Agora'!$B$4*0.0000608320165833454</f>
        <v>3.6162200578135506</v>
      </c>
      <c r="N90" s="123">
        <f>'Parameters | Agora'!$B$4*0.0000558433118410172</f>
        <v>3.3196615157011085</v>
      </c>
      <c r="O90" s="123">
        <f>'Parameters | Agora'!$B$4*0.0000745796739201724</f>
        <v>4.4334632958585685</v>
      </c>
      <c r="P90" s="123">
        <f>'Parameters | Agora'!$B$4*0.000209833552468264</f>
        <v>12.473765360028422</v>
      </c>
      <c r="Q90" s="123">
        <f>'Parameters | Agora'!$B$4*0.00000332</f>
        <v>0.19736071999999999</v>
      </c>
      <c r="R90" s="123">
        <f>'Parameters | Agora'!$B$4*0.000000228</f>
        <v>1.3553688E-2</v>
      </c>
      <c r="S90" s="123">
        <f>'Parameters | Agora'!$B$4*0.000000010795</f>
        <v>6.4171957000000001E-4</v>
      </c>
      <c r="T90" s="123">
        <f>'Parameters | Agora'!$B$4*1.06842537988002E-06</f>
        <v>6.351361513234767E-2</v>
      </c>
      <c r="U90" s="123">
        <f>'Parameters | Agora'!$B$4*4.85208496273132E-06</f>
        <v>0.28843704269452602</v>
      </c>
      <c r="V90" s="123">
        <f>'Parameters | Agora'!$B$4*4.85208496273132E-06</f>
        <v>0.28843704269452602</v>
      </c>
      <c r="W90" s="123">
        <f>'Parameters | Agora'!$B$4*3.88785344054027E-06</f>
        <v>0.23111733562635689</v>
      </c>
      <c r="X90" s="123">
        <f>'Parameters | Agora'!$B$4*0.000531</f>
        <v>31.565826000000001</v>
      </c>
      <c r="Y90" s="123">
        <f>'Parameters | Agora'!$B$4*0.000825388518912763</f>
        <v>49.066045895288113</v>
      </c>
      <c r="Z90" s="123">
        <f>'Parameters | Agora'!$B$4*0.00077772828947423</f>
        <v>46.232835896085071</v>
      </c>
      <c r="AA90" s="123">
        <f>'Parameters | Agora'!$B$4*0.000864383252089744</f>
        <v>51.384126803726922</v>
      </c>
      <c r="AB90" s="123">
        <f>'Parameters | Agora'!$B$4*0.00000091</f>
        <v>5.4095859999999996E-2</v>
      </c>
      <c r="AC90" s="123">
        <f>'Parameters | Agora'!$B$4*0.0000557801355730471</f>
        <v>3.3159059392753578</v>
      </c>
      <c r="AD90" s="123">
        <f>'Parameters | Agora'!$B$4*8.87469624217925E-07</f>
        <v>5.2756519281258768E-2</v>
      </c>
      <c r="AE90" s="123">
        <f>'Parameters | Agora'!$B$4*8.87469624217925E-07</f>
        <v>5.2756519281258768E-2</v>
      </c>
      <c r="AF90" s="123">
        <f>'Parameters | Agora'!$B$4*0.000281365323992451</f>
        <v>16.726043050055242</v>
      </c>
      <c r="AG90" s="123">
        <f>'Parameters | Agora'!$B$4*6.74916508907886E-07</f>
        <v>4.0121086788538186E-2</v>
      </c>
      <c r="AH90" s="123">
        <f>'Parameters | Agora'!$B$4*4.06048854935189E-06</f>
        <v>0.24137980230477243</v>
      </c>
      <c r="AI90" s="123">
        <f>'Parameters | Agora'!$B$4*1.09990623748948E-07</f>
        <v>6.538502619379963E-3</v>
      </c>
      <c r="AJ90" s="123">
        <f>'Parameters | Agora'!$B$4*6.68928072258818E-09</f>
        <v>3.9765098183497692E-4</v>
      </c>
    </row>
    <row r="91" spans="1:36">
      <c r="A91" s="120" t="s">
        <v>488</v>
      </c>
      <c r="B91" s="120" t="s">
        <v>489</v>
      </c>
      <c r="C91" s="120" t="s">
        <v>114</v>
      </c>
      <c r="D91" s="120" t="s">
        <v>121</v>
      </c>
      <c r="E91" s="120" t="s">
        <v>316</v>
      </c>
      <c r="F91" s="121">
        <v>2023</v>
      </c>
      <c r="G91" s="123">
        <f>'Parameters | Agora'!$B$4*0.000010012556936692</f>
        <v>0.59520645965859265</v>
      </c>
      <c r="H91" s="123">
        <f>'Parameters | Agora'!$B$4*2.59532051350803E-06</f>
        <v>0.15428142324599836</v>
      </c>
      <c r="I91" s="123">
        <f>'Parameters | Agora'!$B$4*1.05451690227542E-06</f>
        <v>6.2686811772664622E-2</v>
      </c>
      <c r="J91" s="123">
        <f>'Parameters | Agora'!$B$4*8.62473484142803E-08</f>
        <v>5.1270598738353068E-3</v>
      </c>
      <c r="K91" s="123">
        <f>'Parameters | Agora'!$B$4*2.53843542403694E-07</f>
        <v>1.5089983221729993E-2</v>
      </c>
      <c r="L91" s="123">
        <f>'Parameters | Agora'!$B$4*7.28231373129231E-06</f>
        <v>0.43290442207040264</v>
      </c>
      <c r="M91" s="123">
        <f>'Parameters | Agora'!$B$4*0.0000190597227372417</f>
        <v>1.1330242778380699</v>
      </c>
      <c r="N91" s="123">
        <f>'Parameters | Agora'!$B$4*7.19791773483463E-06</f>
        <v>0.4278874176649794</v>
      </c>
      <c r="O91" s="123">
        <f>'Parameters | Agora'!$B$4*1.36880112410258E-06</f>
        <v>8.1369751623401959E-2</v>
      </c>
      <c r="P91" s="123">
        <f>'Parameters | Agora'!$B$4*1.75410220874549E-07</f>
        <v>1.042743599010844E-2</v>
      </c>
      <c r="Q91" s="123">
        <f>'Parameters | Agora'!$B$4*0.00000332</f>
        <v>0.19736071999999999</v>
      </c>
      <c r="R91" s="123">
        <f>'Parameters | Agora'!$B$4*0.000000228</f>
        <v>1.3553688E-2</v>
      </c>
      <c r="S91" s="123">
        <f>'Parameters | Agora'!$B$4*0.000000010795</f>
        <v>6.4171957000000001E-4</v>
      </c>
      <c r="T91" s="123">
        <f>'Parameters | Agora'!$B$4*2.10440175570179E-06</f>
        <v>0.1250982667694486</v>
      </c>
      <c r="U91" s="123">
        <f>'Parameters | Agora'!$B$4*2.20728457924186E-06</f>
        <v>0.13121423909761162</v>
      </c>
      <c r="V91" s="123">
        <f>'Parameters | Agora'!$B$4*2.20728457924186E-06</f>
        <v>0.13121423909761162</v>
      </c>
      <c r="W91" s="123">
        <f>'Parameters | Agora'!$B$4*3.88785344054027E-06</f>
        <v>0.23111733562635689</v>
      </c>
      <c r="X91" s="123">
        <f>'Parameters | Agora'!$B$4*0.000531</f>
        <v>31.565826000000001</v>
      </c>
      <c r="Y91" s="123">
        <f>'Parameters | Agora'!$B$4*0.000532286407334213</f>
        <v>31.642297770389625</v>
      </c>
      <c r="Z91" s="123">
        <f>'Parameters | Agora'!$B$4*0.000486010259608401</f>
        <v>28.891365892681005</v>
      </c>
      <c r="AA91" s="123">
        <f>'Parameters | Agora'!$B$4*0.000539814584476211</f>
        <v>32.089817788772841</v>
      </c>
      <c r="AB91" s="123">
        <f>'Parameters | Agora'!$B$4*0.00000091</f>
        <v>5.4095859999999996E-2</v>
      </c>
      <c r="AC91" s="123">
        <f>'Parameters | Agora'!$B$4*8.84921752959678E-06</f>
        <v>0.52605058526441018</v>
      </c>
      <c r="AD91" s="123">
        <f>'Parameters | Agora'!$B$4*1.64271827101183E-06</f>
        <v>9.7653030338569244E-2</v>
      </c>
      <c r="AE91" s="123">
        <f>'Parameters | Agora'!$B$4*1.64271827101183E-06</f>
        <v>9.7653030338569244E-2</v>
      </c>
      <c r="AF91" s="123">
        <f>'Parameters | Agora'!$B$4*0.000281365323992451</f>
        <v>16.726043050055242</v>
      </c>
      <c r="AG91" s="123">
        <f>'Parameters | Agora'!$B$4*1.53636223885941E-06</f>
        <v>9.1330589651236485E-2</v>
      </c>
      <c r="AH91" s="123">
        <f>'Parameters | Agora'!$B$4*4.98958782759214E-07</f>
        <v>2.9661103799904238E-2</v>
      </c>
      <c r="AI91" s="123">
        <f>'Parameters | Agora'!$B$4*1.62907485675039E-07</f>
        <v>9.6841983934383685E-3</v>
      </c>
      <c r="AJ91" s="123">
        <f>'Parameters | Agora'!$B$4*9.05607194820095E-09</f>
        <v>5.3834725303275371E-4</v>
      </c>
    </row>
    <row r="92" spans="1:36">
      <c r="A92" s="120" t="s">
        <v>490</v>
      </c>
      <c r="B92" s="120" t="s">
        <v>491</v>
      </c>
      <c r="C92" s="120" t="s">
        <v>115</v>
      </c>
      <c r="D92" s="120" t="s">
        <v>325</v>
      </c>
      <c r="E92" s="120" t="s">
        <v>316</v>
      </c>
      <c r="F92" s="121">
        <v>2023</v>
      </c>
      <c r="G92" s="123">
        <f>'Parameters | Agora'!$B$4*0.000116772755638789</f>
        <v>6.9416732317034509</v>
      </c>
      <c r="H92" s="123">
        <f>'Parameters | Agora'!$B$4*2.59532051350803E-06</f>
        <v>0.15428142324599836</v>
      </c>
      <c r="I92" s="123">
        <f>'Parameters | Agora'!$B$4*8.48188426269675E-07</f>
        <v>5.0421409188027101E-2</v>
      </c>
      <c r="J92" s="123">
        <f>'Parameters | Agora'!$B$4*4.88936917779182E-08</f>
        <v>2.9065344014301254E-3</v>
      </c>
      <c r="K92" s="123">
        <f>'Parameters | Agora'!$B$4*2.0417610593583E-07</f>
        <v>1.213745279346135E-2</v>
      </c>
      <c r="L92" s="123">
        <f>'Parameters | Agora'!$B$4*7.28231373129231E-06</f>
        <v>0.43290442207040264</v>
      </c>
      <c r="M92" s="123">
        <f>'Parameters | Agora'!$B$4*0.0000488354923095818</f>
        <v>2.9030746758353998</v>
      </c>
      <c r="N92" s="123">
        <f>'Parameters | Agora'!$B$4*0.0000440110470016459</f>
        <v>2.6162807000598423</v>
      </c>
      <c r="O92" s="123">
        <f>'Parameters | Agora'!$B$4*6.26049320496723E-06</f>
        <v>0.37216127906248198</v>
      </c>
      <c r="P92" s="123">
        <f>'Parameters | Agora'!$B$4*0.0000293558104454732</f>
        <v>1.7450855077415999</v>
      </c>
      <c r="Q92" s="123">
        <f>'Parameters | Agora'!$B$4*0.00000332</f>
        <v>0.19736071999999999</v>
      </c>
      <c r="R92" s="123">
        <f>'Parameters | Agora'!$B$4*0.000000228</f>
        <v>1.3553688E-2</v>
      </c>
      <c r="S92" s="123">
        <f>'Parameters | Agora'!$B$4*0.000000010795</f>
        <v>6.4171957000000001E-4</v>
      </c>
      <c r="T92" s="123">
        <f>'Parameters | Agora'!$B$4*1.40923297344354E-06</f>
        <v>8.377326333932468E-2</v>
      </c>
      <c r="U92" s="123">
        <f>'Parameters | Agora'!$B$4*4.90400554634528E-06</f>
        <v>0.29152351370804153</v>
      </c>
      <c r="V92" s="123">
        <f>'Parameters | Agora'!$B$4*4.90400554634528E-06</f>
        <v>0.29152351370804153</v>
      </c>
      <c r="W92" s="123">
        <f>'Parameters | Agora'!$B$4*3.88785344054027E-06</f>
        <v>0.23111733562635689</v>
      </c>
      <c r="X92" s="123">
        <f>'Parameters | Agora'!$B$4*0.000531</f>
        <v>31.565826000000001</v>
      </c>
      <c r="Y92" s="123">
        <f>'Parameters | Agora'!$B$4*0.00100619563061959</f>
        <v>59.814305457812154</v>
      </c>
      <c r="Z92" s="123">
        <f>'Parameters | Agora'!$B$4*0.000968978708678095</f>
        <v>57.601908316078038</v>
      </c>
      <c r="AA92" s="123">
        <f>'Parameters | Agora'!$B$4*0.00106161939207202</f>
        <v>63.109026381113303</v>
      </c>
      <c r="AB92" s="123">
        <f>'Parameters | Agora'!$B$4*0.00000091</f>
        <v>5.4095859999999996E-2</v>
      </c>
      <c r="AC92" s="123">
        <f>'Parameters | Agora'!$B$4*0.000103205157554839</f>
        <v>6.1351337960049594</v>
      </c>
      <c r="AD92" s="123">
        <f>'Parameters | Agora'!$B$4*1.67320584880855E-06</f>
        <v>9.9465394888273065E-2</v>
      </c>
      <c r="AE92" s="123">
        <f>'Parameters | Agora'!$B$4*1.67320584880855E-06</f>
        <v>9.9465394888273065E-2</v>
      </c>
      <c r="AF92" s="123">
        <f>'Parameters | Agora'!$B$4*0.000281365323992451</f>
        <v>16.726043050055242</v>
      </c>
      <c r="AG92" s="123">
        <f>'Parameters | Agora'!$B$4*1.19601957959304E-06</f>
        <v>7.1098579928487851E-2</v>
      </c>
      <c r="AH92" s="123">
        <f>'Parameters | Agora'!$B$4*3.68969651709019E-06</f>
        <v>0.21933769915494344</v>
      </c>
      <c r="AI92" s="123">
        <f>'Parameters | Agora'!$B$4*1.55779924230392E-08</f>
        <v>9.2604933757998824E-4</v>
      </c>
      <c r="AJ92" s="123">
        <f>'Parameters | Agora'!$B$4*2.71145723901168E-09</f>
        <v>1.6118528703028831E-4</v>
      </c>
    </row>
    <row r="93" spans="1:36">
      <c r="A93" s="120" t="s">
        <v>492</v>
      </c>
      <c r="B93" s="120" t="s">
        <v>493</v>
      </c>
      <c r="C93" s="120" t="s">
        <v>114</v>
      </c>
      <c r="D93" s="120" t="s">
        <v>325</v>
      </c>
      <c r="E93" s="120" t="s">
        <v>316</v>
      </c>
      <c r="F93" s="121">
        <v>2023</v>
      </c>
      <c r="G93" s="123">
        <f>'Parameters | Agora'!$B$4*0.000185245798166726</f>
        <v>11.012121717819193</v>
      </c>
      <c r="H93" s="123">
        <f>'Parameters | Agora'!$B$4*2.59532051350803E-06</f>
        <v>0.15428142324599836</v>
      </c>
      <c r="I93" s="123">
        <f>'Parameters | Agora'!$B$4*1.34554795046656E-06</f>
        <v>7.9987443463435129E-2</v>
      </c>
      <c r="J93" s="123">
        <f>'Parameters | Agora'!$B$4*8.62473484142803E-08</f>
        <v>5.1270598738353068E-3</v>
      </c>
      <c r="K93" s="123">
        <f>'Parameters | Agora'!$B$4*3.23900600818682E-07</f>
        <v>1.925459511626737E-2</v>
      </c>
      <c r="L93" s="123">
        <f>'Parameters | Agora'!$B$4*7.28231373129231E-06</f>
        <v>0.43290442207040264</v>
      </c>
      <c r="M93" s="123">
        <f>'Parameters | Agora'!$B$4*0.000476761786279176</f>
        <v>28.341581147151899</v>
      </c>
      <c r="N93" s="123">
        <f>'Parameters | Agora'!$B$4*0.000158932466805092</f>
        <v>9.4478994216954995</v>
      </c>
      <c r="O93" s="123">
        <f>'Parameters | Agora'!$B$4*0</f>
        <v>0</v>
      </c>
      <c r="P93" s="123">
        <f>'Parameters | Agora'!$B$4*0.000159193107064051</f>
        <v>9.4633934425295756</v>
      </c>
      <c r="Q93" s="123">
        <f>'Parameters | Agora'!$B$4*0.00000332</f>
        <v>0.19736071999999999</v>
      </c>
      <c r="R93" s="123">
        <f>'Parameters | Agora'!$B$4*0.000000228</f>
        <v>1.3553688E-2</v>
      </c>
      <c r="S93" s="123">
        <f>'Parameters | Agora'!$B$4*0.000000010795</f>
        <v>6.4171957000000001E-4</v>
      </c>
      <c r="T93" s="123">
        <f>'Parameters | Agora'!$B$4*3.09714926671269E-06</f>
        <v>0.18411313530900256</v>
      </c>
      <c r="U93" s="123">
        <f>'Parameters | Agora'!$B$4*0.0000146378168205058</f>
        <v>0.87015965871178769</v>
      </c>
      <c r="V93" s="123">
        <f>'Parameters | Agora'!$B$4*0.0000146378168205058</f>
        <v>0.87015965871178769</v>
      </c>
      <c r="W93" s="123">
        <f>'Parameters | Agora'!$B$4*3.88785344054027E-06</f>
        <v>0.23111733562635689</v>
      </c>
      <c r="X93" s="123">
        <f>'Parameters | Agora'!$B$4*0.000531</f>
        <v>31.565826000000001</v>
      </c>
      <c r="Y93" s="123">
        <f>'Parameters | Agora'!$B$4*0.000921062237215028</f>
        <v>54.753465753484548</v>
      </c>
      <c r="Z93" s="123">
        <f>'Parameters | Agora'!$B$4*0.00089449732162632</f>
        <v>53.17428778139822</v>
      </c>
      <c r="AA93" s="123">
        <f>'Parameters | Agora'!$B$4*0.00105345132473908</f>
        <v>62.62346745043935</v>
      </c>
      <c r="AB93" s="123">
        <f>'Parameters | Agora'!$B$4*0.00000091</f>
        <v>5.4095859999999996E-2</v>
      </c>
      <c r="AC93" s="123">
        <f>'Parameters | Agora'!$B$4*0.00016372245119664</f>
        <v>9.7326448338354616</v>
      </c>
      <c r="AD93" s="123">
        <f>'Parameters | Agora'!$B$4*2.90675203785051E-06</f>
        <v>0.17279478164206141</v>
      </c>
      <c r="AE93" s="123">
        <f>'Parameters | Agora'!$B$4*2.90675203785051E-06</f>
        <v>0.17279478164206141</v>
      </c>
      <c r="AF93" s="123">
        <f>'Parameters | Agora'!$B$4*0.000281365323992451</f>
        <v>16.726043050055242</v>
      </c>
      <c r="AG93" s="123">
        <f>'Parameters | Agora'!$B$4*1.78589458976025E-06</f>
        <v>0.10616428978288782</v>
      </c>
      <c r="AH93" s="123">
        <f>'Parameters | Agora'!$B$4*0.0000125018108607001</f>
        <v>0.74318264842517812</v>
      </c>
      <c r="AI93" s="123">
        <f>'Parameters | Agora'!$B$4*3.32630240892458E-07</f>
        <v>1.9773537300093059E-2</v>
      </c>
      <c r="AJ93" s="123">
        <f>'Parameters | Agora'!$B$4*1.74811291530001E-08</f>
        <v>1.0391832036292441E-3</v>
      </c>
    </row>
    <row r="94" spans="1:36">
      <c r="A94" s="120" t="s">
        <v>494</v>
      </c>
      <c r="B94" s="120" t="s">
        <v>495</v>
      </c>
      <c r="C94" s="120" t="s">
        <v>115</v>
      </c>
      <c r="D94" s="120" t="s">
        <v>121</v>
      </c>
      <c r="E94" s="120" t="s">
        <v>316</v>
      </c>
      <c r="F94" s="121">
        <v>2023</v>
      </c>
      <c r="G94" s="123">
        <f>'Parameters | Agora'!$B$4*0.0000328384093881227</f>
        <v>1.952112084486342</v>
      </c>
      <c r="H94" s="123">
        <f>'Parameters | Agora'!$B$4*2.59532051350803E-06</f>
        <v>0.15428142324599836</v>
      </c>
      <c r="I94" s="123">
        <f>'Parameters | Agora'!$B$4*3.95565362154022E-07</f>
        <v>2.351477851860799E-2</v>
      </c>
      <c r="J94" s="123">
        <f>'Parameters | Agora'!$B$4*4.88936917779182E-08</f>
        <v>2.9065344014301254E-3</v>
      </c>
      <c r="K94" s="123">
        <f>'Parameters | Agora'!$B$4*9.52205816376302E-08</f>
        <v>5.6604826960305644E-3</v>
      </c>
      <c r="L94" s="123">
        <f>'Parameters | Agora'!$B$4*7.28231373129231E-06</f>
        <v>0.43290442207040264</v>
      </c>
      <c r="M94" s="123">
        <f>'Parameters | Agora'!$B$4*6.00425856675457E-06</f>
        <v>0.35692915475929216</v>
      </c>
      <c r="N94" s="123">
        <f>'Parameters | Agora'!$B$4*5.13429138501977E-07</f>
        <v>3.0521308567388526E-2</v>
      </c>
      <c r="O94" s="123">
        <f>'Parameters | Agora'!$B$4*0</f>
        <v>0</v>
      </c>
      <c r="P94" s="123">
        <f>'Parameters | Agora'!$B$4*0</f>
        <v>0</v>
      </c>
      <c r="Q94" s="123">
        <f>'Parameters | Agora'!$B$4*0.00000332</f>
        <v>0.19736071999999999</v>
      </c>
      <c r="R94" s="123">
        <f>'Parameters | Agora'!$B$4*0.000000228</f>
        <v>1.3553688E-2</v>
      </c>
      <c r="S94" s="123">
        <f>'Parameters | Agora'!$B$4*0.000000010795</f>
        <v>6.4171957000000001E-4</v>
      </c>
      <c r="T94" s="123">
        <f>'Parameters | Agora'!$B$4*6.53851812435433E-07</f>
        <v>3.8868874842036751E-2</v>
      </c>
      <c r="U94" s="123">
        <f>'Parameters | Agora'!$B$4*5.83255816123625E-07</f>
        <v>3.4672225245285009E-2</v>
      </c>
      <c r="V94" s="123">
        <f>'Parameters | Agora'!$B$4*5.83255816123625E-07</f>
        <v>3.4672225245285009E-2</v>
      </c>
      <c r="W94" s="123">
        <f>'Parameters | Agora'!$B$4*3.88785344054027E-06</f>
        <v>0.23111733562635689</v>
      </c>
      <c r="X94" s="123">
        <f>'Parameters | Agora'!$B$4*0.000531</f>
        <v>31.565826000000001</v>
      </c>
      <c r="Y94" s="123">
        <f>'Parameters | Agora'!$B$4*0.00136375588291873</f>
        <v>81.069832215986821</v>
      </c>
      <c r="Z94" s="123">
        <f>'Parameters | Agora'!$B$4*0.00109826596893954</f>
        <v>65.287518789579892</v>
      </c>
      <c r="AA94" s="123">
        <f>'Parameters | Agora'!$B$4*0.00160315063441278</f>
        <v>95.300892613302111</v>
      </c>
      <c r="AB94" s="123">
        <f>'Parameters | Agora'!$B$4*0.00000091</f>
        <v>5.4095859999999996E-2</v>
      </c>
      <c r="AC94" s="123">
        <f>'Parameters | Agora'!$B$4*0.0000290229788293677</f>
        <v>1.7252999994905922</v>
      </c>
      <c r="AD94" s="123">
        <f>'Parameters | Agora'!$B$4*7.76449163286003E-08</f>
        <v>4.6156796960699735E-3</v>
      </c>
      <c r="AE94" s="123">
        <f>'Parameters | Agora'!$B$4*7.76449163286003E-08</f>
        <v>4.6156796960699735E-3</v>
      </c>
      <c r="AF94" s="123">
        <f>'Parameters | Agora'!$B$4*0.000281365323992451</f>
        <v>16.726043050055242</v>
      </c>
      <c r="AG94" s="123">
        <f>'Parameters | Agora'!$B$4*5.79443046637038E-07</f>
        <v>3.4445571350385361E-2</v>
      </c>
      <c r="AH94" s="123">
        <f>'Parameters | Agora'!$B$4*2.02253597633881E-10</f>
        <v>1.202316736494369E-5</v>
      </c>
      <c r="AI94" s="123">
        <f>'Parameters | Agora'!$B$4*1.76177713725854E-09</f>
        <v>1.0473060370147117E-4</v>
      </c>
      <c r="AJ94" s="123">
        <f>'Parameters | Agora'!$B$4*1.84873875169378E-09</f>
        <v>1.0990012383318846E-4</v>
      </c>
    </row>
    <row r="95" spans="1:36">
      <c r="A95" s="120" t="s">
        <v>496</v>
      </c>
      <c r="B95" s="120" t="s">
        <v>497</v>
      </c>
      <c r="C95" s="120" t="s">
        <v>117</v>
      </c>
      <c r="D95" s="120" t="s">
        <v>325</v>
      </c>
      <c r="E95" s="120" t="s">
        <v>316</v>
      </c>
      <c r="F95" s="121">
        <v>2023</v>
      </c>
      <c r="G95" s="123">
        <f>'Parameters | Agora'!$B$4*0.0000595059462808477</f>
        <v>3.5373904826112725</v>
      </c>
      <c r="H95" s="123">
        <f>'Parameters | Agora'!$B$4*2.59532051350803E-06</f>
        <v>0.15428142324599836</v>
      </c>
      <c r="I95" s="123">
        <f>'Parameters | Agora'!$B$4*4.32226289887043E-07</f>
        <v>2.569412402862516E-2</v>
      </c>
      <c r="J95" s="123">
        <f>'Parameters | Agora'!$B$4*1.25062212908419E-07</f>
        <v>7.4344483085538758E-3</v>
      </c>
      <c r="K95" s="123">
        <f>'Parameters | Agora'!$B$4*1.04045608285828E-07</f>
        <v>6.1850952301593315E-3</v>
      </c>
      <c r="L95" s="123">
        <f>'Parameters | Agora'!$B$4*7.28231373129231E-06</f>
        <v>0.43290442207040264</v>
      </c>
      <c r="M95" s="123">
        <f>'Parameters | Agora'!$B$4*0.000058596844039514</f>
        <v>3.4833479907729492</v>
      </c>
      <c r="N95" s="123">
        <f>'Parameters | Agora'!$B$4*0.0000411132457383754</f>
        <v>2.4440180061634638</v>
      </c>
      <c r="O95" s="123">
        <f>'Parameters | Agora'!$B$4*0.0000446491151309015</f>
        <v>2.6542112980715706</v>
      </c>
      <c r="P95" s="123">
        <f>'Parameters | Agora'!$B$4*0.0000285808457130931</f>
        <v>1.6990169542605325</v>
      </c>
      <c r="Q95" s="123">
        <f>'Parameters | Agora'!$B$4*0.00000332</f>
        <v>0.19736071999999999</v>
      </c>
      <c r="R95" s="123">
        <f>'Parameters | Agora'!$B$4*0.000000228</f>
        <v>1.3553688E-2</v>
      </c>
      <c r="S95" s="123">
        <f>'Parameters | Agora'!$B$4*0.000000010795</f>
        <v>6.4171957000000001E-4</v>
      </c>
      <c r="T95" s="123">
        <f>'Parameters | Agora'!$B$4*7.73504060853351E-07</f>
        <v>4.5981722401488304E-2</v>
      </c>
      <c r="U95" s="123">
        <f>'Parameters | Agora'!$B$4*0.000001023806674142</f>
        <v>6.0861211551045326E-2</v>
      </c>
      <c r="V95" s="123">
        <f>'Parameters | Agora'!$B$4*0.000001023806674142</f>
        <v>6.0861211551045326E-2</v>
      </c>
      <c r="W95" s="123">
        <f>'Parameters | Agora'!$B$4*3.88785344054027E-06</f>
        <v>0.23111733562635689</v>
      </c>
      <c r="X95" s="123">
        <f>'Parameters | Agora'!$B$4*0.000531</f>
        <v>31.565826000000001</v>
      </c>
      <c r="Y95" s="123">
        <f>'Parameters | Agora'!$B$4*0.00095349400613105</f>
        <v>56.681404688466401</v>
      </c>
      <c r="Z95" s="123">
        <f>'Parameters | Agora'!$B$4*0.000896827420541751</f>
        <v>53.312802841524935</v>
      </c>
      <c r="AA95" s="123">
        <f>'Parameters | Agora'!$B$4*0.000958609739552306</f>
        <v>56.985514577426386</v>
      </c>
      <c r="AB95" s="123">
        <f>'Parameters | Agora'!$B$4*0.00000091</f>
        <v>5.4095859999999996E-2</v>
      </c>
      <c r="AC95" s="123">
        <f>'Parameters | Agora'!$B$4*0.00005259206676908</f>
        <v>3.1263880011547296</v>
      </c>
      <c r="AD95" s="123">
        <f>'Parameters | Agora'!$B$4*1.80121378767259E-06</f>
        <v>0.10707495482198479</v>
      </c>
      <c r="AE95" s="123">
        <f>'Parameters | Agora'!$B$4*1.80121378767259E-06</f>
        <v>0.10707495482198479</v>
      </c>
      <c r="AF95" s="123">
        <f>'Parameters | Agora'!$B$4*0.000281365323992451</f>
        <v>16.726043050055242</v>
      </c>
      <c r="AG95" s="123">
        <f>'Parameters | Agora'!$B$4*4.56451902857532E-07</f>
        <v>2.7134239817268847E-2</v>
      </c>
      <c r="AH95" s="123">
        <f>'Parameters | Agora'!$B$4*4.91728416735536E-07</f>
        <v>2.9231287461260674E-2</v>
      </c>
      <c r="AI95" s="123">
        <f>'Parameters | Agora'!$B$4*7.37222308451936E-08</f>
        <v>4.3824917348233789E-3</v>
      </c>
      <c r="AJ95" s="123">
        <f>'Parameters | Agora'!$B$4*1.90412370374229E-09</f>
        <v>1.1319253769266418E-4</v>
      </c>
    </row>
    <row r="96" spans="1:36">
      <c r="A96" s="120" t="s">
        <v>498</v>
      </c>
      <c r="B96" s="120" t="s">
        <v>499</v>
      </c>
      <c r="C96" s="120" t="s">
        <v>119</v>
      </c>
      <c r="D96" s="120" t="s">
        <v>325</v>
      </c>
      <c r="E96" s="120" t="s">
        <v>316</v>
      </c>
      <c r="F96" s="121">
        <v>2023</v>
      </c>
      <c r="G96" s="123">
        <f>'Parameters | Agora'!$B$4*0.000150798506663741</f>
        <v>8.9643680271327479</v>
      </c>
      <c r="H96" s="123">
        <f>'Parameters | Agora'!$B$4*2.59532051350803E-06</f>
        <v>0.15428142324599836</v>
      </c>
      <c r="I96" s="123">
        <f>'Parameters | Agora'!$B$4*1.09533724156158E-06</f>
        <v>6.5113417661869691E-2</v>
      </c>
      <c r="J96" s="123">
        <f>'Parameters | Agora'!$B$4*2.24299408328451E-07</f>
        <v>1.3333702627493097E-2</v>
      </c>
      <c r="K96" s="123">
        <f>'Parameters | Agora'!$B$4*2.63669823522717E-07</f>
        <v>1.5674116329131436E-2</v>
      </c>
      <c r="L96" s="123">
        <f>'Parameters | Agora'!$B$4*7.28231373129231E-06</f>
        <v>0.43290442207040264</v>
      </c>
      <c r="M96" s="123">
        <f>'Parameters | Agora'!$B$4*0</f>
        <v>0</v>
      </c>
      <c r="N96" s="123">
        <f>'Parameters | Agora'!$B$4*0</f>
        <v>0</v>
      </c>
      <c r="O96" s="123">
        <f>'Parameters | Agora'!$B$4*0.0000992800068007343</f>
        <v>5.9017992842764517</v>
      </c>
      <c r="P96" s="123">
        <f>'Parameters | Agora'!$B$4*0.0000689659454489588</f>
        <v>4.0997495931588048</v>
      </c>
      <c r="Q96" s="123">
        <f>'Parameters | Agora'!$B$4*0.00000332</f>
        <v>0.19736071999999999</v>
      </c>
      <c r="R96" s="123">
        <f>'Parameters | Agora'!$B$4*0.000000228</f>
        <v>1.3553688E-2</v>
      </c>
      <c r="S96" s="123">
        <f>'Parameters | Agora'!$B$4*0.000000010795</f>
        <v>6.4171957000000001E-4</v>
      </c>
      <c r="T96" s="123">
        <f>'Parameters | Agora'!$B$4*1.57386278778505E-07</f>
        <v>9.3559847282670087E-3</v>
      </c>
      <c r="U96" s="123">
        <f>'Parameters | Agora'!$B$4*8.51126572855201E-08</f>
        <v>5.0596070249950284E-3</v>
      </c>
      <c r="V96" s="123">
        <f>'Parameters | Agora'!$B$4*8.51126572855201E-08</f>
        <v>5.0596070249950284E-3</v>
      </c>
      <c r="W96" s="123">
        <f>'Parameters | Agora'!$B$4*3.88785344054027E-06</f>
        <v>0.23111733562635689</v>
      </c>
      <c r="X96" s="123">
        <f>'Parameters | Agora'!$B$4*0.000531</f>
        <v>31.565826000000001</v>
      </c>
      <c r="Y96" s="123">
        <f>'Parameters | Agora'!$B$4*0.00186563750689417</f>
        <v>110.90468723483083</v>
      </c>
      <c r="Z96" s="123">
        <f>'Parameters | Agora'!$B$4*0.00180521629218226</f>
        <v>107.31288770506663</v>
      </c>
      <c r="AA96" s="123">
        <f>'Parameters | Agora'!$B$4*0.00196633953141403</f>
        <v>116.89101978443843</v>
      </c>
      <c r="AB96" s="123">
        <f>'Parameters | Agora'!$B$4*0.00000091</f>
        <v>5.4095859999999996E-2</v>
      </c>
      <c r="AC96" s="123">
        <f>'Parameters | Agora'!$B$4*0.000133277523118552</f>
        <v>7.9228156393054423</v>
      </c>
      <c r="AD96" s="123">
        <f>'Parameters | Agora'!$B$4*1.71901997533257E-06</f>
        <v>0.10218886145361995</v>
      </c>
      <c r="AE96" s="123">
        <f>'Parameters | Agora'!$B$4*1.71901997533257E-06</f>
        <v>0.10218886145361995</v>
      </c>
      <c r="AF96" s="123">
        <f>'Parameters | Agora'!$B$4*0.000281365323992451</f>
        <v>16.726043050055242</v>
      </c>
      <c r="AG96" s="123">
        <f>'Parameters | Agora'!$B$4*0</f>
        <v>0</v>
      </c>
      <c r="AH96" s="123">
        <f>'Parameters | Agora'!$B$4*7.39988489280112E-08</f>
        <v>4.3989355733745532E-3</v>
      </c>
      <c r="AI96" s="123">
        <f>'Parameters | Agora'!$B$4*4.82192708197059E-09</f>
        <v>2.8664427731482368E-4</v>
      </c>
      <c r="AJ96" s="123">
        <f>'Parameters | Agora'!$B$4*6.29188127553826E-09</f>
        <v>3.7402717430564736E-4</v>
      </c>
    </row>
    <row r="97" spans="1:36">
      <c r="A97" s="120" t="s">
        <v>500</v>
      </c>
      <c r="B97" s="120" t="s">
        <v>501</v>
      </c>
      <c r="C97" s="120" t="s">
        <v>119</v>
      </c>
      <c r="D97" s="120" t="s">
        <v>319</v>
      </c>
      <c r="E97" s="120" t="s">
        <v>316</v>
      </c>
      <c r="F97" s="121">
        <v>2023</v>
      </c>
      <c r="G97" s="123">
        <f>'Parameters | Agora'!$B$4*0.000145439220060761</f>
        <v>8.6457798757319981</v>
      </c>
      <c r="H97" s="123">
        <f>'Parameters | Agora'!$B$4*2.59532051350803E-06</f>
        <v>0.15428142324599836</v>
      </c>
      <c r="I97" s="123">
        <f>'Parameters | Agora'!$B$4*1.05640962659828E-06</f>
        <v>6.2799326662761362E-2</v>
      </c>
      <c r="J97" s="123">
        <f>'Parameters | Agora'!$B$4*2.24299408328451E-07</f>
        <v>1.3333702627493097E-2</v>
      </c>
      <c r="K97" s="123">
        <f>'Parameters | Agora'!$B$4*2.54299159422135E-07</f>
        <v>1.5117067831008236E-2</v>
      </c>
      <c r="L97" s="123">
        <f>'Parameters | Agora'!$B$4*7.28231373129231E-06</f>
        <v>0.43290442207040264</v>
      </c>
      <c r="M97" s="123">
        <f>'Parameters | Agora'!$B$4*0.00111152340849784</f>
        <v>66.0756205415626</v>
      </c>
      <c r="N97" s="123">
        <f>'Parameters | Agora'!$B$4*0</f>
        <v>0</v>
      </c>
      <c r="O97" s="123">
        <f>'Parameters | Agora'!$B$4*0.00105437351687351</f>
        <v>62.678288084062679</v>
      </c>
      <c r="P97" s="123">
        <f>'Parameters | Agora'!$B$4*0.000998703353406119</f>
        <v>59.368919546580145</v>
      </c>
      <c r="Q97" s="123">
        <f>'Parameters | Agora'!$B$4*0.00000332</f>
        <v>0.19736071999999999</v>
      </c>
      <c r="R97" s="123">
        <f>'Parameters | Agora'!$B$4*0.000000228</f>
        <v>1.3553688E-2</v>
      </c>
      <c r="S97" s="123">
        <f>'Parameters | Agora'!$B$4*0.000000010795</f>
        <v>6.4171957000000001E-4</v>
      </c>
      <c r="T97" s="123">
        <f>'Parameters | Agora'!$B$4*3.00314347895641E-06</f>
        <v>0.17852486725004274</v>
      </c>
      <c r="U97" s="123">
        <f>'Parameters | Agora'!$B$4*6.49409879660362E-06</f>
        <v>0.38604819706289878</v>
      </c>
      <c r="V97" s="123">
        <f>'Parameters | Agora'!$B$4*6.49409879660362E-06</f>
        <v>0.38604819706289878</v>
      </c>
      <c r="W97" s="123">
        <f>'Parameters | Agora'!$B$4*3.88785344054027E-06</f>
        <v>0.23111733562635689</v>
      </c>
      <c r="X97" s="123">
        <f>'Parameters | Agora'!$B$4*0.000531</f>
        <v>31.565826000000001</v>
      </c>
      <c r="Y97" s="123">
        <f>'Parameters | Agora'!$B$4*0.00093971050434174</f>
        <v>55.862030641099075</v>
      </c>
      <c r="Z97" s="123">
        <f>'Parameters | Agora'!$B$4*0.000853089145002977</f>
        <v>50.712737313846972</v>
      </c>
      <c r="AA97" s="123">
        <f>'Parameters | Agora'!$B$4*0.00106386778606064</f>
        <v>63.242684410160805</v>
      </c>
      <c r="AB97" s="123">
        <f>'Parameters | Agora'!$B$4*0.00000091</f>
        <v>5.4095859999999996E-2</v>
      </c>
      <c r="AC97" s="123">
        <f>'Parameters | Agora'!$B$4*0.000128540921543841</f>
        <v>7.6412436220951721</v>
      </c>
      <c r="AD97" s="123">
        <f>'Parameters | Agora'!$B$4*1.51475524996763E-06</f>
        <v>9.0046140589575732E-2</v>
      </c>
      <c r="AE97" s="123">
        <f>'Parameters | Agora'!$B$4*1.51475524996763E-06</f>
        <v>9.0046140589575732E-2</v>
      </c>
      <c r="AF97" s="123">
        <f>'Parameters | Agora'!$B$4*0.000281365323992451</f>
        <v>16.726043050055242</v>
      </c>
      <c r="AG97" s="123">
        <f>'Parameters | Agora'!$B$4*2.17826624329755E-06</f>
        <v>0.12948921509906616</v>
      </c>
      <c r="AH97" s="123">
        <f>'Parameters | Agora'!$B$4*0.0000040923507203693</f>
        <v>0.24327388092307342</v>
      </c>
      <c r="AI97" s="123">
        <f>'Parameters | Agora'!$B$4*2.04982094000601E-07</f>
        <v>1.2185365559959726E-2</v>
      </c>
      <c r="AJ97" s="123">
        <f>'Parameters | Agora'!$B$4*1.84997389361719E-08</f>
        <v>1.0997354807996749E-3</v>
      </c>
    </row>
    <row r="98" spans="1:36">
      <c r="A98" s="120" t="s">
        <v>502</v>
      </c>
      <c r="B98" s="120" t="s">
        <v>503</v>
      </c>
      <c r="C98" s="120" t="s">
        <v>115</v>
      </c>
      <c r="D98" s="120" t="s">
        <v>121</v>
      </c>
      <c r="E98" s="120" t="s">
        <v>316</v>
      </c>
      <c r="F98" s="121">
        <v>2023</v>
      </c>
      <c r="G98" s="123">
        <f>'Parameters | Agora'!$B$4*0.0000217196267347687</f>
        <v>1.2911449308750602</v>
      </c>
      <c r="H98" s="123">
        <f>'Parameters | Agora'!$B$4*2.59532051350803E-06</f>
        <v>0.15428142324599836</v>
      </c>
      <c r="I98" s="123">
        <f>'Parameters | Agora'!$B$4*5.74822937337653E-07</f>
        <v>3.4170924332974119E-2</v>
      </c>
      <c r="J98" s="123">
        <f>'Parameters | Agora'!$B$4*4.88936917779182E-08</f>
        <v>2.9065344014301254E-3</v>
      </c>
      <c r="K98" s="123">
        <f>'Parameters | Agora'!$B$4*1.38371504860504E-07</f>
        <v>8.2256324779375195E-3</v>
      </c>
      <c r="L98" s="123">
        <f>'Parameters | Agora'!$B$4*7.28231373129231E-06</f>
        <v>0.43290442207040264</v>
      </c>
      <c r="M98" s="123">
        <f>'Parameters | Agora'!$B$4*2.29988078343771E-06</f>
        <v>0.13671871305223809</v>
      </c>
      <c r="N98" s="123">
        <f>'Parameters | Agora'!$B$4*2.39081937541395E-07</f>
        <v>1.4212464859085767E-2</v>
      </c>
      <c r="O98" s="123">
        <f>'Parameters | Agora'!$B$4*0.0000058203996858616</f>
        <v>0.3459994797257287</v>
      </c>
      <c r="P98" s="123">
        <f>'Parameters | Agora'!$B$4*7.93736369493273E-07</f>
        <v>4.7184452220897108E-2</v>
      </c>
      <c r="Q98" s="123">
        <f>'Parameters | Agora'!$B$4*0.00000332</f>
        <v>0.19736071999999999</v>
      </c>
      <c r="R98" s="123">
        <f>'Parameters | Agora'!$B$4*0.000000228</f>
        <v>1.3553688E-2</v>
      </c>
      <c r="S98" s="123">
        <f>'Parameters | Agora'!$B$4*0.000000010795</f>
        <v>6.4171957000000001E-4</v>
      </c>
      <c r="T98" s="123">
        <f>'Parameters | Agora'!$B$4*9.52788337708527E-07</f>
        <v>5.6639455523421096E-2</v>
      </c>
      <c r="U98" s="123">
        <f>'Parameters | Agora'!$B$4*8.48754655876779E-07</f>
        <v>5.0455069273251003E-2</v>
      </c>
      <c r="V98" s="123">
        <f>'Parameters | Agora'!$B$4*8.48754655876779E-07</f>
        <v>5.0455069273251003E-2</v>
      </c>
      <c r="W98" s="123">
        <f>'Parameters | Agora'!$B$4*3.88785344054027E-06</f>
        <v>0.23111733562635689</v>
      </c>
      <c r="X98" s="123">
        <f>'Parameters | Agora'!$B$4*0.000531</f>
        <v>31.565826000000001</v>
      </c>
      <c r="Y98" s="123">
        <f>'Parameters | Agora'!$B$4*0.00130943266998439</f>
        <v>77.840534499892044</v>
      </c>
      <c r="Z98" s="123">
        <f>'Parameters | Agora'!$B$4*0.00118568686317777</f>
        <v>70.484341268465712</v>
      </c>
      <c r="AA98" s="123">
        <f>'Parameters | Agora'!$B$4*0.00147358527085032</f>
        <v>87.598750010968118</v>
      </c>
      <c r="AB98" s="123">
        <f>'Parameters | Agora'!$B$4*0.00000091</f>
        <v>5.4095859999999996E-2</v>
      </c>
      <c r="AC98" s="123">
        <f>'Parameters | Agora'!$B$4*0.000019196065785481</f>
        <v>1.1411293266837035</v>
      </c>
      <c r="AD98" s="123">
        <f>'Parameters | Agora'!$B$4*1.83604040453889E-07</f>
        <v>1.0914525788821886E-2</v>
      </c>
      <c r="AE98" s="123">
        <f>'Parameters | Agora'!$B$4*1.83604040453889E-07</f>
        <v>1.0914525788821886E-2</v>
      </c>
      <c r="AF98" s="123">
        <f>'Parameters | Agora'!$B$4*0.000281365323992451</f>
        <v>16.726043050055242</v>
      </c>
      <c r="AG98" s="123">
        <f>'Parameters | Agora'!$B$4*8.42028109524136E-07</f>
        <v>5.0055202998771788E-2</v>
      </c>
      <c r="AH98" s="123">
        <f>'Parameters | Agora'!$B$4*3.24125597435654E-10</f>
        <v>1.9267970265159887E-5</v>
      </c>
      <c r="AI98" s="123">
        <f>'Parameters | Agora'!$B$4*3.74081936250839E-09</f>
        <v>2.2237674782367374E-4</v>
      </c>
      <c r="AJ98" s="123">
        <f>'Parameters | Agora'!$B$4*2.66160139269946E-09</f>
        <v>1.582215563904121E-4</v>
      </c>
    </row>
    <row r="99" spans="1:36">
      <c r="A99" s="120" t="s">
        <v>504</v>
      </c>
      <c r="B99" s="120" t="s">
        <v>505</v>
      </c>
      <c r="C99" s="120" t="s">
        <v>115</v>
      </c>
      <c r="D99" s="120" t="s">
        <v>121</v>
      </c>
      <c r="E99" s="120" t="s">
        <v>316</v>
      </c>
      <c r="F99" s="121">
        <v>2023</v>
      </c>
      <c r="G99" s="123">
        <f>'Parameters | Agora'!$B$4*6.93559000397149E-06</f>
        <v>0.41229308337608916</v>
      </c>
      <c r="H99" s="123">
        <f>'Parameters | Agora'!$B$4*2.59532051350803E-06</f>
        <v>0.15428142324599836</v>
      </c>
      <c r="I99" s="123">
        <f>'Parameters | Agora'!$B$4*7.91242277620538E-07</f>
        <v>4.7036188435430504E-2</v>
      </c>
      <c r="J99" s="123">
        <f>'Parameters | Agora'!$B$4*4.88936917779182E-08</f>
        <v>2.9065344014301254E-3</v>
      </c>
      <c r="K99" s="123">
        <f>'Parameters | Agora'!$B$4*1.90468016413365E-07</f>
        <v>1.1322561703708897E-2</v>
      </c>
      <c r="L99" s="123">
        <f>'Parameters | Agora'!$B$4*7.28231373129231E-06</f>
        <v>0.43290442207040264</v>
      </c>
      <c r="M99" s="123">
        <f>'Parameters | Agora'!$B$4*0</f>
        <v>0</v>
      </c>
      <c r="N99" s="123">
        <f>'Parameters | Agora'!$B$4*0</f>
        <v>0</v>
      </c>
      <c r="O99" s="123">
        <f>'Parameters | Agora'!$B$4*0</f>
        <v>0</v>
      </c>
      <c r="P99" s="123">
        <f>'Parameters | Agora'!$B$4*0</f>
        <v>0</v>
      </c>
      <c r="Q99" s="123">
        <f>'Parameters | Agora'!$B$4*0.00000332</f>
        <v>0.19736071999999999</v>
      </c>
      <c r="R99" s="123">
        <f>'Parameters | Agora'!$B$4*0.000000228</f>
        <v>1.3553688E-2</v>
      </c>
      <c r="S99" s="123">
        <f>'Parameters | Agora'!$B$4*0.000000010795</f>
        <v>6.4171957000000001E-4</v>
      </c>
      <c r="T99" s="123">
        <f>'Parameters | Agora'!$B$4*2.15719292661686E-06</f>
        <v>0.12823649071566587</v>
      </c>
      <c r="U99" s="123">
        <f>'Parameters | Agora'!$B$4*1.69709000755026E-06</f>
        <v>0.10088521258883276</v>
      </c>
      <c r="V99" s="123">
        <f>'Parameters | Agora'!$B$4*1.69709000755026E-06</f>
        <v>0.10088521258883276</v>
      </c>
      <c r="W99" s="123">
        <f>'Parameters | Agora'!$B$4*3.88785344054027E-06</f>
        <v>0.23111733562635689</v>
      </c>
      <c r="X99" s="123">
        <f>'Parameters | Agora'!$B$4*0.000531</f>
        <v>31.565826000000001</v>
      </c>
      <c r="Y99" s="123">
        <f>'Parameters | Agora'!$B$4*0.000331290519477166</f>
        <v>19.693896220839612</v>
      </c>
      <c r="Z99" s="123">
        <f>'Parameters | Agora'!$B$4*0.000314148377861924</f>
        <v>18.674864470379934</v>
      </c>
      <c r="AA99" s="123">
        <f>'Parameters | Agora'!$B$4*0.000339488935032281</f>
        <v>20.181259231928976</v>
      </c>
      <c r="AB99" s="123">
        <f>'Parameters | Agora'!$B$4*0.00000091</f>
        <v>5.4095859999999996E-2</v>
      </c>
      <c r="AC99" s="123">
        <f>'Parameters | Agora'!$B$4*6.12975736660508E-06</f>
        <v>0.3643895564152056</v>
      </c>
      <c r="AD99" s="123">
        <f>'Parameters | Agora'!$B$4*6.02183193430548E-06</f>
        <v>0.3579738211667236</v>
      </c>
      <c r="AE99" s="123">
        <f>'Parameters | Agora'!$B$4*6.02183193430548E-06</f>
        <v>0.3579738211667236</v>
      </c>
      <c r="AF99" s="123">
        <f>'Parameters | Agora'!$B$4*0.000281365323992451</f>
        <v>16.726043050055242</v>
      </c>
      <c r="AG99" s="123">
        <f>'Parameters | Agora'!$B$4*1.15831422195991E-06</f>
        <v>6.8857147238628819E-2</v>
      </c>
      <c r="AH99" s="123">
        <f>'Parameters | Agora'!$B$4*2.37460900002595E-07</f>
        <v>1.4116100661554262E-2</v>
      </c>
      <c r="AI99" s="123">
        <f>'Parameters | Agora'!$B$4*2.95711179108479E-07</f>
        <v>1.7578846753282643E-2</v>
      </c>
      <c r="AJ99" s="123">
        <f>'Parameters | Agora'!$B$4*5.60370647926817E-09</f>
        <v>3.3311793536657561E-4</v>
      </c>
    </row>
    <row r="100" spans="1:36">
      <c r="A100" s="120" t="s">
        <v>506</v>
      </c>
      <c r="B100" s="120" t="s">
        <v>507</v>
      </c>
      <c r="C100" s="120" t="s">
        <v>114</v>
      </c>
      <c r="D100" s="120" t="s">
        <v>121</v>
      </c>
      <c r="E100" s="120" t="s">
        <v>316</v>
      </c>
      <c r="F100" s="121">
        <v>2023</v>
      </c>
      <c r="G100" s="123">
        <f>'Parameters | Agora'!$B$4*0.0000116725492750441</f>
        <v>0.69388636420427152</v>
      </c>
      <c r="H100" s="123">
        <f>'Parameters | Agora'!$B$4*2.59532051350803E-06</f>
        <v>0.15428142324599836</v>
      </c>
      <c r="I100" s="123">
        <f>'Parameters | Agora'!$B$4*0.0000014218506795919</f>
        <v>8.4523335499020094E-2</v>
      </c>
      <c r="J100" s="123">
        <f>'Parameters | Agora'!$B$4*8.62473484142803E-08</f>
        <v>5.1270598738353068E-3</v>
      </c>
      <c r="K100" s="123">
        <f>'Parameters | Agora'!$B$4*3.42268210682926E-07</f>
        <v>2.0346476052257218E-2</v>
      </c>
      <c r="L100" s="123">
        <f>'Parameters | Agora'!$B$4*7.28231373129231E-06</f>
        <v>0.43290442207040264</v>
      </c>
      <c r="M100" s="123">
        <f>'Parameters | Agora'!$B$4*0.000127069957930268</f>
        <v>7.5538007191227123</v>
      </c>
      <c r="N100" s="123">
        <f>'Parameters | Agora'!$B$4*0.0000754437708540652</f>
        <v>4.4848304021907603</v>
      </c>
      <c r="O100" s="123">
        <f>'Parameters | Agora'!$B$4*0.0000533974772738579</f>
        <v>3.1742664340217566</v>
      </c>
      <c r="P100" s="123">
        <f>'Parameters | Agora'!$B$4*0.0000555382981150653</f>
        <v>3.3015296697481715</v>
      </c>
      <c r="Q100" s="123">
        <f>'Parameters | Agora'!$B$4*0.00000332</f>
        <v>0.19736071999999999</v>
      </c>
      <c r="R100" s="123">
        <f>'Parameters | Agora'!$B$4*0.000000228</f>
        <v>1.3553688E-2</v>
      </c>
      <c r="S100" s="123">
        <f>'Parameters | Agora'!$B$4*0.000000010795</f>
        <v>6.4171957000000001E-4</v>
      </c>
      <c r="T100" s="123">
        <f>'Parameters | Agora'!$B$4*2.90551814470862E-06</f>
        <v>0.17272143163034862</v>
      </c>
      <c r="U100" s="123">
        <f>'Parameters | Agora'!$B$4*7.31491938070788E-06</f>
        <v>0.43484269750556065</v>
      </c>
      <c r="V100" s="123">
        <f>'Parameters | Agora'!$B$4*7.31491938070788E-06</f>
        <v>0.43484269750556065</v>
      </c>
      <c r="W100" s="123">
        <f>'Parameters | Agora'!$B$4*3.88785344054027E-06</f>
        <v>0.23111733562635689</v>
      </c>
      <c r="X100" s="123">
        <f>'Parameters | Agora'!$B$4*0.000531</f>
        <v>31.565826000000001</v>
      </c>
      <c r="Y100" s="123">
        <f>'Parameters | Agora'!$B$4*0.000362784083649546</f>
        <v>21.56606263663091</v>
      </c>
      <c r="Z100" s="123">
        <f>'Parameters | Agora'!$B$4*0.000322990701520517</f>
        <v>19.200505242588655</v>
      </c>
      <c r="AA100" s="123">
        <f>'Parameters | Agora'!$B$4*0.000365588881026829</f>
        <v>21.732796621520876</v>
      </c>
      <c r="AB100" s="123">
        <f>'Parameters | Agora'!$B$4*0.00000091</f>
        <v>5.4095859999999996E-2</v>
      </c>
      <c r="AC100" s="123">
        <f>'Parameters | Agora'!$B$4*0.0000103163386049047</f>
        <v>0.6132650647071648</v>
      </c>
      <c r="AD100" s="123">
        <f>'Parameters | Agora'!$B$4*3.76072414315637E-06</f>
        <v>0.22356000741407359</v>
      </c>
      <c r="AE100" s="123">
        <f>'Parameters | Agora'!$B$4*3.76072414315637E-06</f>
        <v>0.22356000741407359</v>
      </c>
      <c r="AF100" s="123">
        <f>'Parameters | Agora'!$B$4*0.000281365323992451</f>
        <v>16.726043050055242</v>
      </c>
      <c r="AG100" s="123">
        <f>'Parameters | Agora'!$B$4*2.16674709593004E-06</f>
        <v>0.12880444786465714</v>
      </c>
      <c r="AH100" s="123">
        <f>'Parameters | Agora'!$B$4*0.0000049471547328837</f>
        <v>0.29408856025100444</v>
      </c>
      <c r="AI100" s="123">
        <f>'Parameters | Agora'!$B$4*1.85858160633438E-07</f>
        <v>1.1048524217015354E-2</v>
      </c>
      <c r="AJ100" s="123">
        <f>'Parameters | Agora'!$B$4*1.5159391260691E-08</f>
        <v>9.0116517288303709E-4</v>
      </c>
    </row>
    <row r="101" spans="1:36">
      <c r="A101" s="120" t="s">
        <v>508</v>
      </c>
      <c r="B101" s="120" t="s">
        <v>509</v>
      </c>
      <c r="C101" s="120" t="s">
        <v>115</v>
      </c>
      <c r="D101" s="120" t="s">
        <v>322</v>
      </c>
      <c r="E101" s="120" t="s">
        <v>316</v>
      </c>
      <c r="F101" s="121">
        <v>2023</v>
      </c>
      <c r="G101" s="123">
        <f>'Parameters | Agora'!$B$4*0.0000922868284723357</f>
        <v>5.4860828053664683</v>
      </c>
      <c r="H101" s="123">
        <f>'Parameters | Agora'!$B$4*2.59532051350803E-06</f>
        <v>0.15428142324599836</v>
      </c>
      <c r="I101" s="123">
        <f>'Parameters | Agora'!$B$4*7.78619149197387E-07</f>
        <v>4.6285793943187867E-2</v>
      </c>
      <c r="J101" s="123">
        <f>'Parameters | Agora'!$B$4*4.88936917779182E-08</f>
        <v>2.9065344014301254E-3</v>
      </c>
      <c r="K101" s="123">
        <f>'Parameters | Agora'!$B$4*1.87429374141975E-07</f>
        <v>1.1141926575243846E-2</v>
      </c>
      <c r="L101" s="123">
        <f>'Parameters | Agora'!$B$4*7.28231373129231E-06</f>
        <v>0.43290442207040264</v>
      </c>
      <c r="M101" s="123">
        <f>'Parameters | Agora'!$B$4*0</f>
        <v>0</v>
      </c>
      <c r="N101" s="123">
        <f>'Parameters | Agora'!$B$4*0</f>
        <v>0</v>
      </c>
      <c r="O101" s="123">
        <f>'Parameters | Agora'!$B$4*0.0000434555613037151</f>
        <v>2.5832592972606476</v>
      </c>
      <c r="P101" s="123">
        <f>'Parameters | Agora'!$B$4*0.0000956974375870992</f>
        <v>5.6888298748026989</v>
      </c>
      <c r="Q101" s="123">
        <f>'Parameters | Agora'!$B$4*0.00000332</f>
        <v>0.19736071999999999</v>
      </c>
      <c r="R101" s="123">
        <f>'Parameters | Agora'!$B$4*0.000000228</f>
        <v>1.3553688E-2</v>
      </c>
      <c r="S101" s="123">
        <f>'Parameters | Agora'!$B$4*0.000000010795</f>
        <v>6.4171957000000001E-4</v>
      </c>
      <c r="T101" s="123">
        <f>'Parameters | Agora'!$B$4*1.39905549357169E-06</f>
        <v>8.3168252870862686E-2</v>
      </c>
      <c r="U101" s="123">
        <f>'Parameters | Agora'!$B$4*1.28496175290558E-06</f>
        <v>7.6385836363225115E-2</v>
      </c>
      <c r="V101" s="123">
        <f>'Parameters | Agora'!$B$4*1.28496175290558E-06</f>
        <v>7.6385836363225115E-2</v>
      </c>
      <c r="W101" s="123">
        <f>'Parameters | Agora'!$B$4*3.88785344054027E-06</f>
        <v>0.23111733562635689</v>
      </c>
      <c r="X101" s="123">
        <f>'Parameters | Agora'!$B$4*0.000531</f>
        <v>31.565826000000001</v>
      </c>
      <c r="Y101" s="123">
        <f>'Parameters | Agora'!$B$4*0.00155996808486066</f>
        <v>92.733862772626793</v>
      </c>
      <c r="Z101" s="123">
        <f>'Parameters | Agora'!$B$4*0.00143601352905131</f>
        <v>85.365260247984182</v>
      </c>
      <c r="AA101" s="123">
        <f>'Parameters | Agora'!$B$4*0.00177688855752702</f>
        <v>105.62891719075122</v>
      </c>
      <c r="AB101" s="123">
        <f>'Parameters | Agora'!$B$4*0.00000091</f>
        <v>5.4095859999999996E-2</v>
      </c>
      <c r="AC101" s="123">
        <f>'Parameters | Agora'!$B$4*0.0000815642023742735</f>
        <v>4.8486655743410623</v>
      </c>
      <c r="AD101" s="123">
        <f>'Parameters | Agora'!$B$4*3.33011377812492E-06</f>
        <v>0.197961943654414</v>
      </c>
      <c r="AE101" s="123">
        <f>'Parameters | Agora'!$B$4*3.33011377812492E-06</f>
        <v>0.197961943654414</v>
      </c>
      <c r="AF101" s="123">
        <f>'Parameters | Agora'!$B$4*0.000281365323992451</f>
        <v>16.726043050055242</v>
      </c>
      <c r="AG101" s="123">
        <f>'Parameters | Agora'!$B$4*1.05799696564749E-06</f>
        <v>6.2893687619880692E-2</v>
      </c>
      <c r="AH101" s="123">
        <f>'Parameters | Agora'!$B$4*1.53900508610829E-07</f>
        <v>9.1487696348793411E-3</v>
      </c>
      <c r="AI101" s="123">
        <f>'Parameters | Agora'!$B$4*7.05660638991237E-08</f>
        <v>4.1948702345473076E-3</v>
      </c>
      <c r="AJ101" s="123">
        <f>'Parameters | Agora'!$B$4*2.49821474814009E-09</f>
        <v>1.4850887391793579E-4</v>
      </c>
    </row>
    <row r="102" spans="1:36">
      <c r="A102" s="120" t="s">
        <v>510</v>
      </c>
      <c r="B102" s="120" t="s">
        <v>511</v>
      </c>
      <c r="C102" s="120" t="s">
        <v>119</v>
      </c>
      <c r="D102" s="120" t="s">
        <v>319</v>
      </c>
      <c r="E102" s="120" t="s">
        <v>316</v>
      </c>
      <c r="F102" s="121">
        <v>2023</v>
      </c>
      <c r="G102" s="123">
        <f>'Parameters | Agora'!$B$4*0.000182701737256536</f>
        <v>10.860887472952038</v>
      </c>
      <c r="H102" s="123">
        <f>'Parameters | Agora'!$B$4*2.59532051350803E-06</f>
        <v>0.15428142324599836</v>
      </c>
      <c r="I102" s="123">
        <f>'Parameters | Agora'!$B$4*1.32706895673259E-06</f>
        <v>7.8888941201925536E-2</v>
      </c>
      <c r="J102" s="123">
        <f>'Parameters | Agora'!$B$4*2.24299408328451E-07</f>
        <v>1.3333702627493097E-2</v>
      </c>
      <c r="K102" s="123">
        <f>'Parameters | Agora'!$B$4*3.19452333351972E-07</f>
        <v>1.8990163408441327E-2</v>
      </c>
      <c r="L102" s="123">
        <f>'Parameters | Agora'!$B$4*7.28231373129231E-06</f>
        <v>0.43290442207040264</v>
      </c>
      <c r="M102" s="123">
        <f>'Parameters | Agora'!$B$4*0.000742520879092285</f>
        <v>44.139896178519969</v>
      </c>
      <c r="N102" s="123">
        <f>'Parameters | Agora'!$B$4*0.00102888569270815</f>
        <v>61.163138888728682</v>
      </c>
      <c r="O102" s="123">
        <f>'Parameters | Agora'!$B$4*0.00208167555551487</f>
        <v>123.74728507313696</v>
      </c>
      <c r="P102" s="123">
        <f>'Parameters | Agora'!$B$4*0.00160035275377272</f>
        <v>95.134569800773107</v>
      </c>
      <c r="Q102" s="123">
        <f>'Parameters | Agora'!$B$4*0.00000332</f>
        <v>0.19736071999999999</v>
      </c>
      <c r="R102" s="123">
        <f>'Parameters | Agora'!$B$4*0.000000228</f>
        <v>1.3553688E-2</v>
      </c>
      <c r="S102" s="123">
        <f>'Parameters | Agora'!$B$4*0.000000010795</f>
        <v>6.4171957000000001E-4</v>
      </c>
      <c r="T102" s="123">
        <f>'Parameters | Agora'!$B$4*1.39829686879976E-06</f>
        <v>8.3123155662670534E-2</v>
      </c>
      <c r="U102" s="123">
        <f>'Parameters | Agora'!$B$4*5.81058201145427E-06</f>
        <v>0.34541585825291049</v>
      </c>
      <c r="V102" s="123">
        <f>'Parameters | Agora'!$B$4*5.81058201145427E-06</f>
        <v>0.34541585825291049</v>
      </c>
      <c r="W102" s="123">
        <f>'Parameters | Agora'!$B$4*3.88785344054027E-06</f>
        <v>0.23111733562635689</v>
      </c>
      <c r="X102" s="123">
        <f>'Parameters | Agora'!$B$4*0.000531</f>
        <v>31.565826000000001</v>
      </c>
      <c r="Y102" s="123">
        <f>'Parameters | Agora'!$B$4*0.000720958223003171</f>
        <v>42.858082524646505</v>
      </c>
      <c r="Z102" s="123">
        <f>'Parameters | Agora'!$B$4*0.000662903534634002</f>
        <v>39.40696351985288</v>
      </c>
      <c r="AA102" s="123">
        <f>'Parameters | Agora'!$B$4*0.00082941698189441</f>
        <v>49.305521905695095</v>
      </c>
      <c r="AB102" s="123">
        <f>'Parameters | Agora'!$B$4*0.00000091</f>
        <v>5.4095859999999996E-2</v>
      </c>
      <c r="AC102" s="123">
        <f>'Parameters | Agora'!$B$4*0.000161473979747723</f>
        <v>9.5989822000831424</v>
      </c>
      <c r="AD102" s="123">
        <f>'Parameters | Agora'!$B$4*1.26865556671995E-06</f>
        <v>7.5416498819234151E-2</v>
      </c>
      <c r="AE102" s="123">
        <f>'Parameters | Agora'!$B$4*1.26865556671995E-06</f>
        <v>7.5416498819234151E-2</v>
      </c>
      <c r="AF102" s="123">
        <f>'Parameters | Agora'!$B$4*0.000281365323992451</f>
        <v>16.726043050055242</v>
      </c>
      <c r="AG102" s="123">
        <f>'Parameters | Agora'!$B$4*1.02478028045383E-06</f>
        <v>6.0919088551858382E-2</v>
      </c>
      <c r="AH102" s="123">
        <f>'Parameters | Agora'!$B$4*4.73931761101901E-06</f>
        <v>0.28173347470463606</v>
      </c>
      <c r="AI102" s="123">
        <f>'Parameters | Agora'!$B$4*3.1363720458272E-08</f>
        <v>1.8644477263624374E-3</v>
      </c>
      <c r="AJ102" s="123">
        <f>'Parameters | Agora'!$B$4*1.51203995231624E-08</f>
        <v>8.9884727005391199E-4</v>
      </c>
    </row>
    <row r="103" spans="1:36">
      <c r="A103" s="120" t="s">
        <v>512</v>
      </c>
      <c r="B103" s="120" t="s">
        <v>513</v>
      </c>
      <c r="C103" s="120" t="s">
        <v>119</v>
      </c>
      <c r="D103" s="120" t="s">
        <v>319</v>
      </c>
      <c r="E103" s="120" t="s">
        <v>316</v>
      </c>
      <c r="F103" s="121">
        <v>2023</v>
      </c>
      <c r="G103" s="123">
        <f>'Parameters | Agora'!$B$4*0.000163759759797056</f>
        <v>9.734862680895791</v>
      </c>
      <c r="H103" s="123">
        <f>'Parameters | Agora'!$B$4*2.59532051350803E-06</f>
        <v>0.15428142324599836</v>
      </c>
      <c r="I103" s="123">
        <f>'Parameters | Agora'!$B$4*1.18948235989411E-06</f>
        <v>7.0709968366265266E-2</v>
      </c>
      <c r="J103" s="123">
        <f>'Parameters | Agora'!$B$4*2.24299408328451E-07</f>
        <v>1.3333702627493097E-2</v>
      </c>
      <c r="K103" s="123">
        <f>'Parameters | Agora'!$B$4*2.86332457270908E-07</f>
        <v>1.7021319254926396E-2</v>
      </c>
      <c r="L103" s="123">
        <f>'Parameters | Agora'!$B$4*7.28231373129231E-06</f>
        <v>0.43290442207040264</v>
      </c>
      <c r="M103" s="123">
        <f>'Parameters | Agora'!$B$4*0.000112514020504329</f>
        <v>6.6885084629003417</v>
      </c>
      <c r="N103" s="123">
        <f>'Parameters | Agora'!$B$4*0.000127961184586216</f>
        <v>7.6067805789121961</v>
      </c>
      <c r="O103" s="123">
        <f>'Parameters | Agora'!$B$4*0.000157200827282607</f>
        <v>9.344960378641856</v>
      </c>
      <c r="P103" s="123">
        <f>'Parameters | Agora'!$B$4*0.000148880419817676</f>
        <v>8.8503454364815681</v>
      </c>
      <c r="Q103" s="123">
        <f>'Parameters | Agora'!$B$4*0.00000332</f>
        <v>0.19736071999999999</v>
      </c>
      <c r="R103" s="123">
        <f>'Parameters | Agora'!$B$4*0.000000228</f>
        <v>1.3553688E-2</v>
      </c>
      <c r="S103" s="123">
        <f>'Parameters | Agora'!$B$4*0.000000010795</f>
        <v>6.4171957000000001E-4</v>
      </c>
      <c r="T103" s="123">
        <f>'Parameters | Agora'!$B$4*1.69784792620683E-06</f>
        <v>0.10093026782129122</v>
      </c>
      <c r="U103" s="123">
        <f>'Parameters | Agora'!$B$4*2.91461118178941E-06</f>
        <v>0.17326197631265328</v>
      </c>
      <c r="V103" s="123">
        <f>'Parameters | Agora'!$B$4*2.91461118178941E-06</f>
        <v>0.17326197631265328</v>
      </c>
      <c r="W103" s="123">
        <f>'Parameters | Agora'!$B$4*3.88785344054027E-06</f>
        <v>0.23111733562635689</v>
      </c>
      <c r="X103" s="123">
        <f>'Parameters | Agora'!$B$4*0.000531</f>
        <v>31.565826000000001</v>
      </c>
      <c r="Y103" s="123">
        <f>'Parameters | Agora'!$B$4*0.000460450039185224</f>
        <v>27.371913029404826</v>
      </c>
      <c r="Z103" s="123">
        <f>'Parameters | Agora'!$B$4*0.000450779844501204</f>
        <v>26.797058636218573</v>
      </c>
      <c r="AA103" s="123">
        <f>'Parameters | Agora'!$B$4*0.000500370586470534</f>
        <v>29.745029883327366</v>
      </c>
      <c r="AB103" s="123">
        <f>'Parameters | Agora'!$B$4*0.00000091</f>
        <v>5.4095859999999996E-2</v>
      </c>
      <c r="AC103" s="123">
        <f>'Parameters | Agora'!$B$4*0.000144732833600988</f>
        <v>8.6037880262443327</v>
      </c>
      <c r="AD103" s="123">
        <f>'Parameters | Agora'!$B$4*1.06493240240525E-06</f>
        <v>6.3305971593382485E-2</v>
      </c>
      <c r="AE103" s="123">
        <f>'Parameters | Agora'!$B$4*1.06493240240525E-06</f>
        <v>6.3305971593382485E-2</v>
      </c>
      <c r="AF103" s="123">
        <f>'Parameters | Agora'!$B$4*0.000281365323992451</f>
        <v>16.726043050055242</v>
      </c>
      <c r="AG103" s="123">
        <f>'Parameters | Agora'!$B$4*1.44491366654073E-06</f>
        <v>8.5894337821180236E-2</v>
      </c>
      <c r="AH103" s="123">
        <f>'Parameters | Agora'!$B$4*1.45378629195106E-06</f>
        <v>8.6421779911322702E-2</v>
      </c>
      <c r="AI103" s="123">
        <f>'Parameters | Agora'!$B$4*8.04136606755494E-09</f>
        <v>4.7802704725187099E-4</v>
      </c>
      <c r="AJ103" s="123">
        <f>'Parameters | Agora'!$B$4*7.86985723006069E-09</f>
        <v>4.6783153289818775E-4</v>
      </c>
    </row>
    <row r="104" spans="1:36">
      <c r="A104" s="120" t="s">
        <v>514</v>
      </c>
      <c r="B104" s="120" t="s">
        <v>515</v>
      </c>
      <c r="C104" s="120" t="s">
        <v>114</v>
      </c>
      <c r="D104" s="120" t="s">
        <v>322</v>
      </c>
      <c r="E104" s="120" t="s">
        <v>316</v>
      </c>
      <c r="F104" s="121">
        <v>2023</v>
      </c>
      <c r="G104" s="123">
        <f>'Parameters | Agora'!$B$4*0.0000656274768602172</f>
        <v>3.9012909894324714</v>
      </c>
      <c r="H104" s="123">
        <f>'Parameters | Agora'!$B$4*2.59532051350803E-06</f>
        <v>0.15428142324599836</v>
      </c>
      <c r="I104" s="123">
        <f>'Parameters | Agora'!$B$4*3.49783596992158E-07</f>
        <v>2.0793235706795823E-2</v>
      </c>
      <c r="J104" s="123">
        <f>'Parameters | Agora'!$B$4*8.62473484142803E-08</f>
        <v>5.1270598738353068E-3</v>
      </c>
      <c r="K104" s="123">
        <f>'Parameters | Agora'!$B$4*8.41999849823227E-08</f>
        <v>5.005352307259155E-3</v>
      </c>
      <c r="L104" s="123">
        <f>'Parameters | Agora'!$B$4*7.28231373129231E-06</f>
        <v>0.43290442207040264</v>
      </c>
      <c r="M104" s="123">
        <f>'Parameters | Agora'!$B$4*0.000137574489364852</f>
        <v>8.1782530947829919</v>
      </c>
      <c r="N104" s="123">
        <f>'Parameters | Agora'!$B$4*0.0000204929159573631</f>
        <v>1.2182218820014068</v>
      </c>
      <c r="O104" s="123">
        <f>'Parameters | Agora'!$B$4*0.000126080444204501</f>
        <v>7.4949780861807662</v>
      </c>
      <c r="P104" s="123">
        <f>'Parameters | Agora'!$B$4*0.00361879620930618</f>
        <v>215.12295945841518</v>
      </c>
      <c r="Q104" s="123">
        <f>'Parameters | Agora'!$B$4*0.00000332</f>
        <v>0.19736071999999999</v>
      </c>
      <c r="R104" s="123">
        <f>'Parameters | Agora'!$B$4*0.000000228</f>
        <v>1.3553688E-2</v>
      </c>
      <c r="S104" s="123">
        <f>'Parameters | Agora'!$B$4*0.000000010795</f>
        <v>6.4171957000000001E-4</v>
      </c>
      <c r="T104" s="123">
        <f>'Parameters | Agora'!$B$4*8.7883132873219E-07</f>
        <v>5.2243007167813764E-2</v>
      </c>
      <c r="U104" s="123">
        <f>'Parameters | Agora'!$B$4*3.97724621399578E-06</f>
        <v>0.23643137843719314</v>
      </c>
      <c r="V104" s="123">
        <f>'Parameters | Agora'!$B$4*3.97724621399578E-06</f>
        <v>0.23643137843719314</v>
      </c>
      <c r="W104" s="123">
        <f>'Parameters | Agora'!$B$4*3.88785344054027E-06</f>
        <v>0.23111733562635689</v>
      </c>
      <c r="X104" s="123">
        <f>'Parameters | Agora'!$B$4*0.000531</f>
        <v>31.565826000000001</v>
      </c>
      <c r="Y104" s="123">
        <f>'Parameters | Agora'!$B$4*0.000997276894167679</f>
        <v>59.284122250691844</v>
      </c>
      <c r="Z104" s="123">
        <f>'Parameters | Agora'!$B$4*0.000774372532599532</f>
        <v>46.033349572911781</v>
      </c>
      <c r="AA104" s="123">
        <f>'Parameters | Agora'!$B$4*0.00110015583027606</f>
        <v>65.399863486590661</v>
      </c>
      <c r="AB104" s="123">
        <f>'Parameters | Agora'!$B$4*0.00000091</f>
        <v>5.4095859999999996E-2</v>
      </c>
      <c r="AC104" s="123">
        <f>'Parameters | Agora'!$B$4*0.0000580023486834235</f>
        <v>3.4480076198347933</v>
      </c>
      <c r="AD104" s="123">
        <f>'Parameters | Agora'!$B$4*1.79588188916784E-07</f>
        <v>1.0675799478347141E-2</v>
      </c>
      <c r="AE104" s="123">
        <f>'Parameters | Agora'!$B$4*1.79588188916784E-07</f>
        <v>1.0675799478347141E-2</v>
      </c>
      <c r="AF104" s="123">
        <f>'Parameters | Agora'!$B$4*0.000281365323992451</f>
        <v>16.726043050055242</v>
      </c>
      <c r="AG104" s="123">
        <f>'Parameters | Agora'!$B$4*6.83421713648721E-07</f>
        <v>4.0626687189561868E-2</v>
      </c>
      <c r="AH104" s="123">
        <f>'Parameters | Agora'!$B$4*3.24306243756089E-06</f>
        <v>0.19278708966324465</v>
      </c>
      <c r="AI104" s="123">
        <f>'Parameters | Agora'!$B$4*4.29512474151921E-08</f>
        <v>2.5532798538435097E-3</v>
      </c>
      <c r="AJ104" s="123">
        <f>'Parameters | Agora'!$B$4*7.81081537097439E-09</f>
        <v>4.6432173054294359E-4</v>
      </c>
    </row>
    <row r="105" spans="1:36">
      <c r="A105" s="120" t="s">
        <v>516</v>
      </c>
      <c r="B105" s="120" t="s">
        <v>517</v>
      </c>
      <c r="C105" s="120" t="s">
        <v>118</v>
      </c>
      <c r="D105" s="120" t="s">
        <v>322</v>
      </c>
      <c r="E105" s="120" t="s">
        <v>316</v>
      </c>
      <c r="F105" s="121">
        <v>2023</v>
      </c>
      <c r="G105" s="123">
        <f>'Parameters | Agora'!$B$4*0.0000623520803600873</f>
        <v>3.7065817690857501</v>
      </c>
      <c r="H105" s="123">
        <f>'Parameters | Agora'!$B$4*2.59532051350803E-06</f>
        <v>0.15428142324599836</v>
      </c>
      <c r="I105" s="123">
        <f>'Parameters | Agora'!$B$4*5.48498141165431E-07</f>
        <v>3.2606020499720209E-2</v>
      </c>
      <c r="J105" s="123">
        <f>'Parameters | Agora'!$B$4*2.87307050554589E-07</f>
        <v>1.7079254927268098E-2</v>
      </c>
      <c r="K105" s="123">
        <f>'Parameters | Agora'!$B$4*1.32034594092177E-07</f>
        <v>7.8489284804035536E-3</v>
      </c>
      <c r="L105" s="123">
        <f>'Parameters | Agora'!$B$4*7.28231373129231E-06</f>
        <v>0.43290442207040264</v>
      </c>
      <c r="M105" s="123">
        <f>'Parameters | Agora'!$B$4*0.0000207116222620668</f>
        <v>1.2312230969908231</v>
      </c>
      <c r="N105" s="123">
        <f>'Parameters | Agora'!$B$4*5.73076681500714E-06</f>
        <v>0.34067116408491449</v>
      </c>
      <c r="O105" s="123">
        <f>'Parameters | Agora'!$B$4*0.000594383198240542</f>
        <v>35.333703602607258</v>
      </c>
      <c r="P105" s="123">
        <f>'Parameters | Agora'!$B$4*0.00340822013492146</f>
        <v>202.60505414054111</v>
      </c>
      <c r="Q105" s="123">
        <f>'Parameters | Agora'!$B$4*0.00000332</f>
        <v>0.19736071999999999</v>
      </c>
      <c r="R105" s="123">
        <f>'Parameters | Agora'!$B$4*0.000000228</f>
        <v>1.3553688E-2</v>
      </c>
      <c r="S105" s="123">
        <f>'Parameters | Agora'!$B$4*0.000000010795</f>
        <v>6.4171957000000001E-4</v>
      </c>
      <c r="T105" s="123">
        <f>'Parameters | Agora'!$B$4*6.02647732189754E-07</f>
        <v>3.5824997087752115E-2</v>
      </c>
      <c r="U105" s="123">
        <f>'Parameters | Agora'!$B$4*4.13223721270552E-06</f>
        <v>0.24564497334649232</v>
      </c>
      <c r="V105" s="123">
        <f>'Parameters | Agora'!$B$4*4.13223721270552E-06</f>
        <v>0.24564497334649232</v>
      </c>
      <c r="W105" s="123">
        <f>'Parameters | Agora'!$B$4*3.88785344054027E-06</f>
        <v>0.23111733562635689</v>
      </c>
      <c r="X105" s="123">
        <f>'Parameters | Agora'!$B$4*0.000531</f>
        <v>31.565826000000001</v>
      </c>
      <c r="Y105" s="123">
        <f>'Parameters | Agora'!$B$4*0.000257265006926345</f>
        <v>15.293375601743504</v>
      </c>
      <c r="Z105" s="123">
        <f>'Parameters | Agora'!$B$4*0.0002728988035011</f>
        <v>16.222742272926393</v>
      </c>
      <c r="AA105" s="123">
        <f>'Parameters | Agora'!$B$4*0.000251130225991948</f>
        <v>14.92868741431734</v>
      </c>
      <c r="AB105" s="123">
        <f>'Parameters | Agora'!$B$4*0.00000091</f>
        <v>5.4095859999999996E-2</v>
      </c>
      <c r="AC105" s="123">
        <f>'Parameters | Agora'!$B$4*0.0000551075140963549</f>
        <v>3.2759212829719133</v>
      </c>
      <c r="AD105" s="123">
        <f>'Parameters | Agora'!$B$4*8.48109006560246E-07</f>
        <v>5.0416688003980387E-2</v>
      </c>
      <c r="AE105" s="123">
        <f>'Parameters | Agora'!$B$4*8.48109006560246E-07</f>
        <v>5.0416688003980387E-2</v>
      </c>
      <c r="AF105" s="123">
        <f>'Parameters | Agora'!$B$4*0.000281365323992451</f>
        <v>16.726043050055242</v>
      </c>
      <c r="AG105" s="123">
        <f>'Parameters | Agora'!$B$4*3.77943878507452E-07</f>
        <v>2.246725180175399E-2</v>
      </c>
      <c r="AH105" s="123">
        <f>'Parameters | Agora'!$B$4*3.72219471859345E-06</f>
        <v>0.22126958724150625</v>
      </c>
      <c r="AI105" s="123">
        <f>'Parameters | Agora'!$B$4*2.72208312492595E-08</f>
        <v>1.6181695344434802E-3</v>
      </c>
      <c r="AJ105" s="123">
        <f>'Parameters | Agora'!$B$4*4.87778435535666E-09</f>
        <v>2.89964768788532E-4</v>
      </c>
    </row>
    <row r="106" spans="1:36">
      <c r="A106" s="120" t="s">
        <v>518</v>
      </c>
      <c r="B106" s="120" t="s">
        <v>519</v>
      </c>
      <c r="C106" s="120" t="s">
        <v>119</v>
      </c>
      <c r="D106" s="120" t="s">
        <v>319</v>
      </c>
      <c r="E106" s="120" t="s">
        <v>316</v>
      </c>
      <c r="F106" s="121">
        <v>2023</v>
      </c>
      <c r="G106" s="123">
        <f>'Parameters | Agora'!$B$4*0.000199597959419501</f>
        <v>11.865300295651656</v>
      </c>
      <c r="H106" s="123">
        <f>'Parameters | Agora'!$B$4*2.59532051350803E-06</f>
        <v>0.15428142324599836</v>
      </c>
      <c r="I106" s="123">
        <f>'Parameters | Agora'!$B$4*0.0000014497960432684</f>
        <v>8.6184575588133305E-2</v>
      </c>
      <c r="J106" s="123">
        <f>'Parameters | Agora'!$B$4*2.24299408328451E-07</f>
        <v>1.3333702627493097E-2</v>
      </c>
      <c r="K106" s="123">
        <f>'Parameters | Agora'!$B$4*3.48995224820012E-07</f>
        <v>2.0746370134650433E-2</v>
      </c>
      <c r="L106" s="123">
        <f>'Parameters | Agora'!$B$4*7.28231373129231E-06</f>
        <v>0.43290442207040264</v>
      </c>
      <c r="M106" s="123">
        <f>'Parameters | Agora'!$B$4*0.000188364562981901</f>
        <v>11.197519811022087</v>
      </c>
      <c r="N106" s="123">
        <f>'Parameters | Agora'!$B$4*0.0000375248095449703</f>
        <v>2.2306998282103043</v>
      </c>
      <c r="O106" s="123">
        <f>'Parameters | Agora'!$B$4*0.000168885777508444</f>
        <v>10.039583929766961</v>
      </c>
      <c r="P106" s="123">
        <f>'Parameters | Agora'!$B$4*0.0000963492044681382</f>
        <v>5.7275748088129435</v>
      </c>
      <c r="Q106" s="123">
        <f>'Parameters | Agora'!$B$4*0.00000332</f>
        <v>0.19736071999999999</v>
      </c>
      <c r="R106" s="123">
        <f>'Parameters | Agora'!$B$4*0.000000228</f>
        <v>1.3553688E-2</v>
      </c>
      <c r="S106" s="123">
        <f>'Parameters | Agora'!$B$4*0.000000010795</f>
        <v>6.4171957000000001E-4</v>
      </c>
      <c r="T106" s="123">
        <f>'Parameters | Agora'!$B$4*7.36002022253581E-07</f>
        <v>4.3752376214886375E-2</v>
      </c>
      <c r="U106" s="123">
        <f>'Parameters | Agora'!$B$4*5.5239672009869E-07</f>
        <v>3.2837775422986722E-2</v>
      </c>
      <c r="V106" s="123">
        <f>'Parameters | Agora'!$B$4*5.5239672009869E-07</f>
        <v>3.2837775422986722E-2</v>
      </c>
      <c r="W106" s="123">
        <f>'Parameters | Agora'!$B$4*3.88785344054027E-06</f>
        <v>0.23111733562635689</v>
      </c>
      <c r="X106" s="123">
        <f>'Parameters | Agora'!$B$4*0.000531</f>
        <v>31.565826000000001</v>
      </c>
      <c r="Y106" s="123">
        <f>'Parameters | Agora'!$B$4*0.00120321862678442</f>
        <v>71.526534487826623</v>
      </c>
      <c r="Z106" s="123">
        <f>'Parameters | Agora'!$B$4*0.00108461341843732</f>
        <v>64.475929272424935</v>
      </c>
      <c r="AA106" s="123">
        <f>'Parameters | Agora'!$B$4*0.00140640807582117</f>
        <v>83.605334475265266</v>
      </c>
      <c r="AB106" s="123">
        <f>'Parameters | Agora'!$B$4*0.00000091</f>
        <v>5.4095859999999996E-2</v>
      </c>
      <c r="AC106" s="123">
        <f>'Parameters | Agora'!$B$4*0.000176407062904587</f>
        <v>10.486694261426079</v>
      </c>
      <c r="AD106" s="123">
        <f>'Parameters | Agora'!$B$4*1.18926653390772E-06</f>
        <v>7.0697138374678323E-2</v>
      </c>
      <c r="AE106" s="123">
        <f>'Parameters | Agora'!$B$4*1.18926653390772E-06</f>
        <v>7.0697138374678323E-2</v>
      </c>
      <c r="AF106" s="123">
        <f>'Parameters | Agora'!$B$4*0.000281365323992451</f>
        <v>16.726043050055242</v>
      </c>
      <c r="AG106" s="123">
        <f>'Parameters | Agora'!$B$4*4.82864749054964E-07</f>
        <v>2.8704377872321388E-2</v>
      </c>
      <c r="AH106" s="123">
        <f>'Parameters | Agora'!$B$4*6.80352452287654E-08</f>
        <v>4.0444231878691882E-3</v>
      </c>
      <c r="AI106" s="123">
        <f>-'Parameters | Agora'!$B$4*4.31456318721917E-11</f>
        <v>-2.5648352322743081E-6</v>
      </c>
      <c r="AJ106" s="123">
        <f>'Parameters | Agora'!$B$4*1.53987144683287E-09</f>
        <v>9.1539198028426792E-5</v>
      </c>
    </row>
    <row r="107" spans="1:36">
      <c r="A107" s="120" t="s">
        <v>520</v>
      </c>
      <c r="B107" s="120" t="s">
        <v>521</v>
      </c>
      <c r="C107" s="120" t="s">
        <v>117</v>
      </c>
      <c r="D107" s="120" t="s">
        <v>121</v>
      </c>
      <c r="E107" s="120" t="s">
        <v>316</v>
      </c>
      <c r="F107" s="121">
        <v>2023</v>
      </c>
      <c r="G107" s="123">
        <f>'Parameters | Agora'!$B$4*0.0000159729576431607</f>
        <v>0.94952844005533088</v>
      </c>
      <c r="H107" s="123">
        <f>'Parameters | Agora'!$B$4*2.59532051350803E-06</f>
        <v>0.15428142324599836</v>
      </c>
      <c r="I107" s="123">
        <f>'Parameters | Agora'!$B$4*1.28118486176974E-06</f>
        <v>7.6161315292763973E-2</v>
      </c>
      <c r="J107" s="123">
        <f>'Parameters | Agora'!$B$4*1.25062212908419E-07</f>
        <v>7.4344483085538758E-3</v>
      </c>
      <c r="K107" s="123">
        <f>'Parameters | Agora'!$B$4*3.08407103844295E-07</f>
        <v>1.833356869512796E-2</v>
      </c>
      <c r="L107" s="123">
        <f>'Parameters | Agora'!$B$4*7.28231373129231E-06</f>
        <v>0.43290442207040264</v>
      </c>
      <c r="M107" s="123">
        <f>'Parameters | Agora'!$B$4*0</f>
        <v>0</v>
      </c>
      <c r="N107" s="123">
        <f>'Parameters | Agora'!$B$4*0</f>
        <v>0</v>
      </c>
      <c r="O107" s="123">
        <f>'Parameters | Agora'!$B$4*0.0000210576591947023</f>
        <v>1.251793608488273</v>
      </c>
      <c r="P107" s="123">
        <f>'Parameters | Agora'!$B$4*0.0000090825338639024</f>
        <v>0.53992030807354208</v>
      </c>
      <c r="Q107" s="123">
        <f>'Parameters | Agora'!$B$4*0.00000332</f>
        <v>0.19736071999999999</v>
      </c>
      <c r="R107" s="123">
        <f>'Parameters | Agora'!$B$4*0.000000228</f>
        <v>1.3553688E-2</v>
      </c>
      <c r="S107" s="123">
        <f>'Parameters | Agora'!$B$4*0.000000010795</f>
        <v>6.4171957000000001E-4</v>
      </c>
      <c r="T107" s="123">
        <f>'Parameters | Agora'!$B$4*2.39017003111679E-06</f>
        <v>0.14208604766976871</v>
      </c>
      <c r="U107" s="123">
        <f>'Parameters | Agora'!$B$4*2.15627108924196E-06</f>
        <v>0.12818169117107756</v>
      </c>
      <c r="V107" s="123">
        <f>'Parameters | Agora'!$B$4*2.15627108924196E-06</f>
        <v>0.12818169117107756</v>
      </c>
      <c r="W107" s="123">
        <f>'Parameters | Agora'!$B$4*3.88785344054027E-06</f>
        <v>0.23111733562635689</v>
      </c>
      <c r="X107" s="123">
        <f>'Parameters | Agora'!$B$4*0.000531</f>
        <v>31.565826000000001</v>
      </c>
      <c r="Y107" s="123">
        <f>'Parameters | Agora'!$B$4*0.000659743259174179</f>
        <v>39.219097784868246</v>
      </c>
      <c r="Z107" s="123">
        <f>'Parameters | Agora'!$B$4*0.000475035556296335</f>
        <v>28.238963679591933</v>
      </c>
      <c r="AA107" s="123">
        <f>'Parameters | Agora'!$B$4*0.000660253501447323</f>
        <v>39.249429647037559</v>
      </c>
      <c r="AB107" s="123">
        <f>'Parameters | Agora'!$B$4*0.00000091</f>
        <v>5.4095859999999996E-2</v>
      </c>
      <c r="AC107" s="123">
        <f>'Parameters | Agora'!$B$4*0.0000141170909358208</f>
        <v>0.8392045877708032</v>
      </c>
      <c r="AD107" s="123">
        <f>'Parameters | Agora'!$B$4*3.37743565379223E-06</f>
        <v>0.20077503987533291</v>
      </c>
      <c r="AE107" s="123">
        <f>'Parameters | Agora'!$B$4*3.37743565379223E-06</f>
        <v>0.20077503987533291</v>
      </c>
      <c r="AF107" s="123">
        <f>'Parameters | Agora'!$B$4*0.000281365323992451</f>
        <v>16.726043050055242</v>
      </c>
      <c r="AG107" s="123">
        <f>'Parameters | Agora'!$B$4*1.80658227853209E-06</f>
        <v>0.10739409012961863</v>
      </c>
      <c r="AH107" s="123">
        <f>'Parameters | Agora'!$B$4*2.21793820811959E-07</f>
        <v>1.3184755471987714E-2</v>
      </c>
      <c r="AI107" s="123">
        <f>'Parameters | Agora'!$B$4*1.22745311745767E-07</f>
        <v>7.2967178020388653E-3</v>
      </c>
      <c r="AJ107" s="123">
        <f>'Parameters | Agora'!$B$4*5.14967815214477E-09</f>
        <v>3.0612776743239802E-4</v>
      </c>
    </row>
    <row r="108" spans="1:36">
      <c r="A108" s="120" t="s">
        <v>522</v>
      </c>
      <c r="B108" s="120" t="s">
        <v>523</v>
      </c>
      <c r="C108" s="120" t="s">
        <v>119</v>
      </c>
      <c r="D108" s="120" t="s">
        <v>325</v>
      </c>
      <c r="E108" s="120" t="s">
        <v>316</v>
      </c>
      <c r="F108" s="121">
        <v>2023</v>
      </c>
      <c r="G108" s="123">
        <f>'Parameters | Agora'!$B$4*0.000158653959929021</f>
        <v>9.4313433019405828</v>
      </c>
      <c r="H108" s="123">
        <f>'Parameters | Agora'!$B$4*2.59532051350803E-06</f>
        <v>0.15428142324599836</v>
      </c>
      <c r="I108" s="123">
        <f>'Parameters | Agora'!$B$4*1.15239596648645E-06</f>
        <v>6.8505330623753496E-2</v>
      </c>
      <c r="J108" s="123">
        <f>'Parameters | Agora'!$B$4*2.24299408328451E-07</f>
        <v>1.3333702627493097E-2</v>
      </c>
      <c r="K108" s="123">
        <f>'Parameters | Agora'!$B$4*2.77405012431226E-07</f>
        <v>1.6490618368986663E-2</v>
      </c>
      <c r="L108" s="123">
        <f>'Parameters | Agora'!$B$4*7.28231373129231E-06</f>
        <v>0.43290442207040264</v>
      </c>
      <c r="M108" s="123">
        <f>'Parameters | Agora'!$B$4*0</f>
        <v>0</v>
      </c>
      <c r="N108" s="123">
        <f>'Parameters | Agora'!$B$4*6.31825642963718E-07</f>
        <v>3.7559507171621181E-2</v>
      </c>
      <c r="O108" s="123">
        <f>'Parameters | Agora'!$B$4*0</f>
        <v>0</v>
      </c>
      <c r="P108" s="123">
        <f>'Parameters | Agora'!$B$4*4.3417860955543E-08</f>
        <v>2.5810181623632088E-3</v>
      </c>
      <c r="Q108" s="123">
        <f>'Parameters | Agora'!$B$4*0.00000332</f>
        <v>0.19736071999999999</v>
      </c>
      <c r="R108" s="123">
        <f>'Parameters | Agora'!$B$4*0.000000228</f>
        <v>1.3553688E-2</v>
      </c>
      <c r="S108" s="123">
        <f>'Parameters | Agora'!$B$4*0.000000010795</f>
        <v>6.4171957000000001E-4</v>
      </c>
      <c r="T108" s="123">
        <f>'Parameters | Agora'!$B$4*7.21401580703482E-11</f>
        <v>4.2884438366499196E-6</v>
      </c>
      <c r="U108" s="123">
        <f>'Parameters | Agora'!$B$4*7.83035086234922E-09</f>
        <v>4.654830373632118E-4</v>
      </c>
      <c r="V108" s="123">
        <f>'Parameters | Agora'!$B$4*7.83035086234922E-09</f>
        <v>4.654830373632118E-4</v>
      </c>
      <c r="W108" s="123">
        <f>'Parameters | Agora'!$B$4*3.88785344054027E-06</f>
        <v>0.23111733562635689</v>
      </c>
      <c r="X108" s="123">
        <f>'Parameters | Agora'!$B$4*0.000531</f>
        <v>31.565826000000001</v>
      </c>
      <c r="Y108" s="123">
        <f>'Parameters | Agora'!$B$4*0.000936467327450138</f>
        <v>55.669236747600905</v>
      </c>
      <c r="Z108" s="123">
        <f>'Parameters | Agora'!$B$4*0.000782322753065182</f>
        <v>46.505958378712812</v>
      </c>
      <c r="AA108" s="123">
        <f>'Parameters | Agora'!$B$4*0.0011441498147908</f>
        <v>68.015129890053899</v>
      </c>
      <c r="AB108" s="123">
        <f>'Parameters | Agora'!$B$4*0.00000091</f>
        <v>5.4095859999999996E-2</v>
      </c>
      <c r="AC108" s="123">
        <f>'Parameters | Agora'!$B$4*0.000140220266633278</f>
        <v>8.3355339702818441</v>
      </c>
      <c r="AD108" s="123">
        <f>'Parameters | Agora'!$B$4*7.92287910416235E-08</f>
        <v>4.7098347122603509E-3</v>
      </c>
      <c r="AE108" s="123">
        <f>'Parameters | Agora'!$B$4*7.92287910416235E-08</f>
        <v>4.7098347122603509E-3</v>
      </c>
      <c r="AF108" s="123">
        <f>'Parameters | Agora'!$B$4*0.000281365323992451</f>
        <v>16.726043050055242</v>
      </c>
      <c r="AG108" s="123">
        <f>'Parameters | Agora'!$B$4*0</f>
        <v>0</v>
      </c>
      <c r="AH108" s="123">
        <f>'Parameters | Agora'!$B$4*7.64836024525669E-09</f>
        <v>4.5466442313952919E-4</v>
      </c>
      <c r="AI108" s="123">
        <f>-'Parameters | Agora'!$B$4*1.10712428610476E-10</f>
        <v>-6.5814110311783556E-6</v>
      </c>
      <c r="AJ108" s="123">
        <f>'Parameters | Agora'!$B$4*2.92703045703005E-10</f>
        <v>1.7400025254860834E-5</v>
      </c>
    </row>
    <row r="109" spans="1:36">
      <c r="A109" s="120" t="s">
        <v>524</v>
      </c>
      <c r="B109" s="120" t="s">
        <v>525</v>
      </c>
      <c r="C109" s="120" t="s">
        <v>119</v>
      </c>
      <c r="D109" s="120" t="s">
        <v>322</v>
      </c>
      <c r="E109" s="120" t="s">
        <v>316</v>
      </c>
      <c r="F109" s="121">
        <v>2023</v>
      </c>
      <c r="G109" s="123">
        <f>'Parameters | Agora'!$B$4*0.0000649819425049001</f>
        <v>3.8629165541462913</v>
      </c>
      <c r="H109" s="123">
        <f>'Parameters | Agora'!$B$4*2.59532051350803E-06</f>
        <v>0.15428142324599836</v>
      </c>
      <c r="I109" s="123">
        <f>'Parameters | Agora'!$B$4*3.90533318523854E-07</f>
        <v>2.3215643652969024E-2</v>
      </c>
      <c r="J109" s="123">
        <f>'Parameters | Agora'!$B$4*2.24299408328451E-07</f>
        <v>1.3333702627493097E-2</v>
      </c>
      <c r="K109" s="123">
        <f>'Parameters | Agora'!$B$4*9.40092669798417E-08</f>
        <v>5.5884748848836693E-3</v>
      </c>
      <c r="L109" s="123">
        <f>'Parameters | Agora'!$B$4*7.28231373129231E-06</f>
        <v>0.43290442207040264</v>
      </c>
      <c r="M109" s="123">
        <f>'Parameters | Agora'!$B$4*0.000221237683423754</f>
        <v>13.151695328808481</v>
      </c>
      <c r="N109" s="123">
        <f>'Parameters | Agora'!$B$4*0.000111801502205407</f>
        <v>6.6461521001026247</v>
      </c>
      <c r="O109" s="123">
        <f>'Parameters | Agora'!$B$4*0.000142462999326815</f>
        <v>8.468855457981844</v>
      </c>
      <c r="P109" s="123">
        <f>'Parameters | Agora'!$B$4*0.000157403576812746</f>
        <v>9.357013027210499</v>
      </c>
      <c r="Q109" s="123">
        <f>'Parameters | Agora'!$B$4*0.00000332</f>
        <v>0.19736071999999999</v>
      </c>
      <c r="R109" s="123">
        <f>'Parameters | Agora'!$B$4*0.000000228</f>
        <v>1.3553688E-2</v>
      </c>
      <c r="S109" s="123">
        <f>'Parameters | Agora'!$B$4*0.000000010795</f>
        <v>6.4171957000000001E-4</v>
      </c>
      <c r="T109" s="123">
        <f>'Parameters | Agora'!$B$4*4.85082594024216E-07</f>
        <v>2.8836219884363547E-2</v>
      </c>
      <c r="U109" s="123">
        <f>'Parameters | Agora'!$B$4*1.20551426401477E-06</f>
        <v>7.1663000938622018E-2</v>
      </c>
      <c r="V109" s="123">
        <f>'Parameters | Agora'!$B$4*1.20551426401477E-06</f>
        <v>7.1663000938622018E-2</v>
      </c>
      <c r="W109" s="123">
        <f>'Parameters | Agora'!$B$4*3.88785344054027E-06</f>
        <v>0.23111733562635689</v>
      </c>
      <c r="X109" s="123">
        <f>'Parameters | Agora'!$B$4*0.000531</f>
        <v>31.565826000000001</v>
      </c>
      <c r="Y109" s="123">
        <f>'Parameters | Agora'!$B$4*0.00067433755518639</f>
        <v>40.086670305610141</v>
      </c>
      <c r="Z109" s="123">
        <f>'Parameters | Agora'!$B$4*0.000677554814514569</f>
        <v>40.277923503633069</v>
      </c>
      <c r="AA109" s="123">
        <f>'Parameters | Agora'!$B$4*0.00067433755518639</f>
        <v>40.086670305610141</v>
      </c>
      <c r="AB109" s="123">
        <f>'Parameters | Agora'!$B$4*0.00000091</f>
        <v>5.4095859999999996E-2</v>
      </c>
      <c r="AC109" s="123">
        <f>'Parameters | Agora'!$B$4*0.0000574318177022617</f>
        <v>3.4140918351286493</v>
      </c>
      <c r="AD109" s="123">
        <f>'Parameters | Agora'!$B$4*5.05503440690351E-07</f>
        <v>3.0050157535278604E-2</v>
      </c>
      <c r="AE109" s="123">
        <f>'Parameters | Agora'!$B$4*5.05503440690351E-07</f>
        <v>3.0050157535278604E-2</v>
      </c>
      <c r="AF109" s="123">
        <f>'Parameters | Agora'!$B$4*0.000281365323992451</f>
        <v>16.726043050055242</v>
      </c>
      <c r="AG109" s="123">
        <f>'Parameters | Agora'!$B$4*4.09024380208236E-07</f>
        <v>2.4314863305858799E-2</v>
      </c>
      <c r="AH109" s="123">
        <f>'Parameters | Agora'!$B$4*7.94012075825619E-07</f>
        <v>4.7200841859529746E-2</v>
      </c>
      <c r="AI109" s="123">
        <f>-'Parameters | Agora'!$B$4*1.73180279233974E-10</f>
        <v>-1.0294874879342818E-5</v>
      </c>
      <c r="AJ109" s="123">
        <f>'Parameters | Agora'!$B$4*2.65098826014472E-09</f>
        <v>1.5759064811256303E-4</v>
      </c>
    </row>
    <row r="110" spans="1:36">
      <c r="A110" s="120" t="s">
        <v>526</v>
      </c>
      <c r="B110" s="120" t="s">
        <v>527</v>
      </c>
      <c r="C110" s="120" t="s">
        <v>116</v>
      </c>
      <c r="D110" s="120" t="s">
        <v>322</v>
      </c>
      <c r="E110" s="120" t="s">
        <v>316</v>
      </c>
      <c r="F110" s="121">
        <v>2023</v>
      </c>
      <c r="G110" s="123">
        <f>'Parameters | Agora'!$B$4*0.0000123284598771685</f>
        <v>0.73287762585815863</v>
      </c>
      <c r="H110" s="123">
        <f>'Parameters | Agora'!$B$4*2.59532051350803E-06</f>
        <v>0.15428142324599836</v>
      </c>
      <c r="I110" s="123">
        <f>'Parameters | Agora'!$B$4*1.12189862826269E-06</f>
        <v>6.6692385855703876E-2</v>
      </c>
      <c r="J110" s="123">
        <f>'Parameters | Agora'!$B$4*8.63343994036925E-08</f>
        <v>5.1322347069519044E-3</v>
      </c>
      <c r="K110" s="123">
        <f>'Parameters | Agora'!$B$4*2.7006368641559E-07</f>
        <v>1.6054205902661163E-2</v>
      </c>
      <c r="L110" s="123">
        <f>'Parameters | Agora'!$B$4*7.28231373129231E-06</f>
        <v>0.43290442207040264</v>
      </c>
      <c r="M110" s="123">
        <f>'Parameters | Agora'!$B$4*0.000585020734832219</f>
        <v>34.777142602836086</v>
      </c>
      <c r="N110" s="123">
        <f>'Parameters | Agora'!$B$4*0.000170987919573427</f>
        <v>10.164547866961941</v>
      </c>
      <c r="O110" s="123">
        <f>'Parameters | Agora'!$B$4*0.000132316391329263</f>
        <v>7.8656801989593674</v>
      </c>
      <c r="P110" s="123">
        <f>'Parameters | Agora'!$B$4*0.000235197975373381</f>
        <v>13.981578844046007</v>
      </c>
      <c r="Q110" s="123">
        <f>'Parameters | Agora'!$B$4*0.00000332</f>
        <v>0.19736071999999999</v>
      </c>
      <c r="R110" s="123">
        <f>'Parameters | Agora'!$B$4*0.000000228</f>
        <v>1.3553688E-2</v>
      </c>
      <c r="S110" s="123">
        <f>'Parameters | Agora'!$B$4*0.000000010795</f>
        <v>6.4171957000000001E-4</v>
      </c>
      <c r="T110" s="123">
        <f>'Parameters | Agora'!$B$4*1.09250554743227E-06</f>
        <v>6.4945084772658715E-2</v>
      </c>
      <c r="U110" s="123">
        <f>'Parameters | Agora'!$B$4*0.0000013959798127715</f>
        <v>8.2985415950014588E-2</v>
      </c>
      <c r="V110" s="123">
        <f>'Parameters | Agora'!$B$4*0.0000013959798127715</f>
        <v>8.2985415950014588E-2</v>
      </c>
      <c r="W110" s="123">
        <f>'Parameters | Agora'!$B$4*3.88785344054027E-06</f>
        <v>0.23111733562635689</v>
      </c>
      <c r="X110" s="123">
        <f>'Parameters | Agora'!$B$4*0.000531</f>
        <v>31.565826000000001</v>
      </c>
      <c r="Y110" s="123">
        <f>'Parameters | Agora'!$B$4*0.000470584966971481</f>
        <v>27.974393946586659</v>
      </c>
      <c r="Z110" s="123">
        <f>'Parameters | Agora'!$B$4*0.000404074921162836</f>
        <v>24.020637763445947</v>
      </c>
      <c r="AA110" s="123">
        <f>'Parameters | Agora'!$B$4*0.000486420692164015</f>
        <v>28.915764466382036</v>
      </c>
      <c r="AB110" s="123">
        <f>'Parameters | Agora'!$B$4*0.00000091</f>
        <v>5.4095859999999996E-2</v>
      </c>
      <c r="AC110" s="123">
        <f>'Parameters | Agora'!$B$4*0.000010896040237052</f>
        <v>0.64772600793179325</v>
      </c>
      <c r="AD110" s="123">
        <f>'Parameters | Agora'!$B$4*3.32469853685133E-06</f>
        <v>0.19764002922166415</v>
      </c>
      <c r="AE110" s="123">
        <f>'Parameters | Agora'!$B$4*3.32469853685133E-06</f>
        <v>0.19764002922166415</v>
      </c>
      <c r="AF110" s="123">
        <f>'Parameters | Agora'!$B$4*0.000281365323992451</f>
        <v>16.726043050055242</v>
      </c>
      <c r="AG110" s="123">
        <f>'Parameters | Agora'!$B$4*7.58892320293117E-07</f>
        <v>4.5113112872144631E-2</v>
      </c>
      <c r="AH110" s="123">
        <f>'Parameters | Agora'!$B$4*6.23968070684438E-07</f>
        <v>3.7092405929907098E-2</v>
      </c>
      <c r="AI110" s="123">
        <f>'Parameters | Agora'!$B$4*7.72400484325777E-09</f>
        <v>4.5916119191230135E-4</v>
      </c>
      <c r="AJ110" s="123">
        <f>'Parameters | Agora'!$B$4*5.39541695068471E-09</f>
        <v>3.2073595605040323E-4</v>
      </c>
    </row>
    <row r="111" spans="1:36">
      <c r="A111" s="120" t="s">
        <v>528</v>
      </c>
      <c r="B111" s="120" t="s">
        <v>529</v>
      </c>
      <c r="C111" s="120" t="s">
        <v>114</v>
      </c>
      <c r="D111" s="120" t="s">
        <v>325</v>
      </c>
      <c r="E111" s="120" t="s">
        <v>316</v>
      </c>
      <c r="F111" s="121">
        <v>2023</v>
      </c>
      <c r="G111" s="123">
        <f>'Parameters | Agora'!$B$4*0.0000495015989211727</f>
        <v>2.9426720494680323</v>
      </c>
      <c r="H111" s="123">
        <f>'Parameters | Agora'!$B$4*2.59532051350803E-06</f>
        <v>0.15428142324599836</v>
      </c>
      <c r="I111" s="123">
        <f>'Parameters | Agora'!$B$4*3.59558897596446E-07</f>
        <v>2.1374338226518332E-2</v>
      </c>
      <c r="J111" s="123">
        <f>'Parameters | Agora'!$B$4*8.62473484142803E-08</f>
        <v>5.1270598738353068E-3</v>
      </c>
      <c r="K111" s="123">
        <f>'Parameters | Agora'!$B$4*8.65530975100585E-08</f>
        <v>5.1452354345829371E-3</v>
      </c>
      <c r="L111" s="123">
        <f>'Parameters | Agora'!$B$4*7.28231373129231E-06</f>
        <v>0.43290442207040264</v>
      </c>
      <c r="M111" s="123">
        <f>'Parameters | Agora'!$B$4*0.0000477124532455516</f>
        <v>2.8363144956350603</v>
      </c>
      <c r="N111" s="123">
        <f>'Parameters | Agora'!$B$4*0.0000437996560847328</f>
        <v>2.6037143556130258</v>
      </c>
      <c r="O111" s="123">
        <f>'Parameters | Agora'!$B$4*0.0000745796739201724</f>
        <v>4.4334632958585685</v>
      </c>
      <c r="P111" s="123">
        <f>'Parameters | Agora'!$B$4*0.000209833552468264</f>
        <v>12.473765360028422</v>
      </c>
      <c r="Q111" s="123">
        <f>'Parameters | Agora'!$B$4*0.00000332</f>
        <v>0.19736071999999999</v>
      </c>
      <c r="R111" s="123">
        <f>'Parameters | Agora'!$B$4*0.000000228</f>
        <v>1.3553688E-2</v>
      </c>
      <c r="S111" s="123">
        <f>'Parameters | Agora'!$B$4*0.000000010795</f>
        <v>6.4171957000000001E-4</v>
      </c>
      <c r="T111" s="123">
        <f>'Parameters | Agora'!$B$4*8.37999442514658E-07</f>
        <v>4.9815714859726364E-2</v>
      </c>
      <c r="U111" s="123">
        <f>'Parameters | Agora'!$B$4*3.80564199463253E-06</f>
        <v>0.22623019401292538</v>
      </c>
      <c r="V111" s="123">
        <f>'Parameters | Agora'!$B$4*3.80564199463253E-06</f>
        <v>0.22623019401292538</v>
      </c>
      <c r="W111" s="123">
        <f>'Parameters | Agora'!$B$4*3.88785344054027E-06</f>
        <v>0.23111733562635689</v>
      </c>
      <c r="X111" s="123">
        <f>'Parameters | Agora'!$B$4*0.000531</f>
        <v>31.565826000000001</v>
      </c>
      <c r="Y111" s="123">
        <f>'Parameters | Agora'!$B$4*0.000873225378063895</f>
        <v>51.909755824386302</v>
      </c>
      <c r="Z111" s="123">
        <f>'Parameters | Agora'!$B$4*0.000864257723346936</f>
        <v>51.376664622081954</v>
      </c>
      <c r="AA111" s="123">
        <f>'Parameters | Agora'!$B$4*0.000911337910610972</f>
        <v>54.175393434179838</v>
      </c>
      <c r="AB111" s="123">
        <f>'Parameters | Agora'!$B$4*0.00000091</f>
        <v>5.4095859999999996E-2</v>
      </c>
      <c r="AC111" s="123">
        <f>'Parameters | Agora'!$B$4*0.0000437501049618036</f>
        <v>2.6007687395593768</v>
      </c>
      <c r="AD111" s="123">
        <f>'Parameters | Agora'!$B$4*6.96070183606863E-07</f>
        <v>4.1378588134693584E-2</v>
      </c>
      <c r="AE111" s="123">
        <f>'Parameters | Agora'!$B$4*6.96070183606863E-07</f>
        <v>4.1378588134693584E-2</v>
      </c>
      <c r="AF111" s="123">
        <f>'Parameters | Agora'!$B$4*0.000281365323992451</f>
        <v>16.726043050055242</v>
      </c>
      <c r="AG111" s="123">
        <f>'Parameters | Agora'!$B$4*5.29358127258511E-07</f>
        <v>3.1468223233009442E-2</v>
      </c>
      <c r="AH111" s="123">
        <f>'Parameters | Agora'!$B$4*3.18476816890681E-06</f>
        <v>0.18932172856883422</v>
      </c>
      <c r="AI111" s="123">
        <f>'Parameters | Agora'!$B$4*8.62690863762604E-08</f>
        <v>5.1283521087231755E-3</v>
      </c>
      <c r="AJ111" s="123">
        <f>'Parameters | Agora'!$B$4*5.24661209094683E-09</f>
        <v>3.1189010235842528E-4</v>
      </c>
    </row>
    <row r="112" spans="1:36">
      <c r="A112" s="120" t="s">
        <v>530</v>
      </c>
      <c r="B112" s="120" t="s">
        <v>531</v>
      </c>
      <c r="C112" s="120" t="s">
        <v>115</v>
      </c>
      <c r="D112" s="120" t="s">
        <v>322</v>
      </c>
      <c r="E112" s="120" t="s">
        <v>316</v>
      </c>
      <c r="F112" s="121">
        <v>2023</v>
      </c>
      <c r="G112" s="123">
        <f>'Parameters | Agora'!$B$4*0.0000771993533868621</f>
        <v>4.5891927614354042</v>
      </c>
      <c r="H112" s="123">
        <f>'Parameters | Agora'!$B$4*2.59532051350803E-06</f>
        <v>0.15428142324599836</v>
      </c>
      <c r="I112" s="123">
        <f>'Parameters | Agora'!$B$4*1.74015625113082E-07</f>
        <v>1.0344532850472273E-2</v>
      </c>
      <c r="J112" s="123">
        <f>'Parameters | Agora'!$B$4*4.88936917779182E-08</f>
        <v>2.9065344014301254E-3</v>
      </c>
      <c r="K112" s="123">
        <f>'Parameters | Agora'!$B$4*4.18890798402404E-08</f>
        <v>2.4901382401829306E-3</v>
      </c>
      <c r="L112" s="123">
        <f>'Parameters | Agora'!$B$4*7.28231373129231E-06</f>
        <v>0.43290442207040264</v>
      </c>
      <c r="M112" s="123">
        <f>'Parameters | Agora'!$B$4*8.97322393260953E-06</f>
        <v>0.53342226989790609</v>
      </c>
      <c r="N112" s="123">
        <f>'Parameters | Agora'!$B$4*0.000024038422771962</f>
        <v>1.4289880801020531</v>
      </c>
      <c r="O112" s="123">
        <f>'Parameters | Agora'!$B$4*0.0000148715179915943</f>
        <v>0.88405225852831471</v>
      </c>
      <c r="P112" s="123">
        <f>'Parameters | Agora'!$B$4*0.0000215176868660237</f>
        <v>1.279140413437645</v>
      </c>
      <c r="Q112" s="123">
        <f>'Parameters | Agora'!$B$4*0.00000332</f>
        <v>0.19736071999999999</v>
      </c>
      <c r="R112" s="123">
        <f>'Parameters | Agora'!$B$4*0.000000228</f>
        <v>1.3553688E-2</v>
      </c>
      <c r="S112" s="123">
        <f>'Parameters | Agora'!$B$4*0.000000010795</f>
        <v>6.4171957000000001E-4</v>
      </c>
      <c r="T112" s="123">
        <f>'Parameters | Agora'!$B$4*2.40829272400346E-07</f>
        <v>1.431633692711097E-2</v>
      </c>
      <c r="U112" s="123">
        <f>'Parameters | Agora'!$B$4*2.1322243643753E-07</f>
        <v>1.2675220956465408E-2</v>
      </c>
      <c r="V112" s="123">
        <f>'Parameters | Agora'!$B$4*2.1322243643753E-07</f>
        <v>1.2675220956465408E-2</v>
      </c>
      <c r="W112" s="123">
        <f>'Parameters | Agora'!$B$4*3.88785344054027E-06</f>
        <v>0.23111733562635689</v>
      </c>
      <c r="X112" s="123">
        <f>'Parameters | Agora'!$B$4*0.000531</f>
        <v>31.565826000000001</v>
      </c>
      <c r="Y112" s="123">
        <f>'Parameters | Agora'!$B$4*0.0013232161717737</f>
        <v>78.659908547259363</v>
      </c>
      <c r="Z112" s="123">
        <f>'Parameters | Agora'!$B$4*0.00129005554014477</f>
        <v>76.688641639446004</v>
      </c>
      <c r="AA112" s="123">
        <f>'Parameters | Agora'!$B$4*0.00136279499016952</f>
        <v>81.012710985617289</v>
      </c>
      <c r="AB112" s="123">
        <f>'Parameters | Agora'!$B$4*0.00000091</f>
        <v>5.4095859999999996E-2</v>
      </c>
      <c r="AC112" s="123">
        <f>'Parameters | Agora'!$B$4*0.0000682297115096615</f>
        <v>4.0559834304033382</v>
      </c>
      <c r="AD112" s="123">
        <f>'Parameters | Agora'!$B$4*3.66604374210327E-07</f>
        <v>2.17931636293071E-2</v>
      </c>
      <c r="AE112" s="123">
        <f>'Parameters | Agora'!$B$4*3.66604374210327E-07</f>
        <v>2.17931636293071E-2</v>
      </c>
      <c r="AF112" s="123">
        <f>'Parameters | Agora'!$B$4*0.000281365323992451</f>
        <v>16.726043050055242</v>
      </c>
      <c r="AG112" s="123">
        <f>'Parameters | Agora'!$B$4*2.02422913559277E-07</f>
        <v>1.203323251944478E-2</v>
      </c>
      <c r="AH112" s="123">
        <f>'Parameters | Agora'!$B$4*8.48366424519206E-09</f>
        <v>5.0431990471968722E-4</v>
      </c>
      <c r="AI112" s="123">
        <f>'Parameters | Agora'!$B$4*1.78372446173757E-09</f>
        <v>1.0603528435245159E-4</v>
      </c>
      <c r="AJ112" s="123">
        <f>'Parameters | Agora'!$B$4*5.32134171323273E-10</f>
        <v>3.1633247948483285E-5</v>
      </c>
    </row>
    <row r="113" spans="1:36">
      <c r="A113" s="120" t="s">
        <v>532</v>
      </c>
      <c r="B113" s="120" t="s">
        <v>533</v>
      </c>
      <c r="C113" s="120" t="s">
        <v>114</v>
      </c>
      <c r="D113" s="120" t="s">
        <v>325</v>
      </c>
      <c r="E113" s="120" t="s">
        <v>316</v>
      </c>
      <c r="F113" s="121">
        <v>2023</v>
      </c>
      <c r="G113" s="123">
        <f>'Parameters | Agora'!$B$4*0.0000658094493815969</f>
        <v>3.9121085279384089</v>
      </c>
      <c r="H113" s="123">
        <f>'Parameters | Agora'!$B$4*2.59532051350803E-06</f>
        <v>0.15428142324599836</v>
      </c>
      <c r="I113" s="123">
        <f>'Parameters | Agora'!$B$4*4.7801229832508E-07</f>
        <v>2.8415919086232703E-2</v>
      </c>
      <c r="J113" s="123">
        <f>'Parameters | Agora'!$B$4*8.62473484142803E-08</f>
        <v>5.1270598738353068E-3</v>
      </c>
      <c r="K113" s="123">
        <f>'Parameters | Agora'!$B$4*1.15067226383516E-07</f>
        <v>6.8402863395944924E-3</v>
      </c>
      <c r="L113" s="123">
        <f>'Parameters | Agora'!$B$4*7.28231373129231E-06</f>
        <v>0.43290442207040264</v>
      </c>
      <c r="M113" s="123">
        <f>'Parameters | Agora'!$B$4*4.84131191649641E-07</f>
        <v>2.877966281880456E-2</v>
      </c>
      <c r="N113" s="123">
        <f>'Parameters | Agora'!$B$4*7.29518245257029E-06</f>
        <v>0.43366941607549347</v>
      </c>
      <c r="O113" s="123">
        <f>'Parameters | Agora'!$B$4*9.14381570404903E-06</f>
        <v>0.5435632683428987</v>
      </c>
      <c r="P113" s="123">
        <f>'Parameters | Agora'!$B$4*7.74759675538393E-06</f>
        <v>0.46056363672055317</v>
      </c>
      <c r="Q113" s="123">
        <f>'Parameters | Agora'!$B$4*0.00000332</f>
        <v>0.19736071999999999</v>
      </c>
      <c r="R113" s="123">
        <f>'Parameters | Agora'!$B$4*0.000000228</f>
        <v>1.3553688E-2</v>
      </c>
      <c r="S113" s="123">
        <f>'Parameters | Agora'!$B$4*0.000000010795</f>
        <v>6.4171957000000001E-4</v>
      </c>
      <c r="T113" s="123">
        <f>'Parameters | Agora'!$B$4*3.99808822908273E-07</f>
        <v>2.3767035286605197E-2</v>
      </c>
      <c r="U113" s="123">
        <f>'Parameters | Agora'!$B$4*3.20791153097272E-07</f>
        <v>1.9069750887020433E-2</v>
      </c>
      <c r="V113" s="123">
        <f>'Parameters | Agora'!$B$4*3.20791153097272E-07</f>
        <v>1.9069750887020433E-2</v>
      </c>
      <c r="W113" s="123">
        <f>'Parameters | Agora'!$B$4*3.88785344054027E-06</f>
        <v>0.23111733562635689</v>
      </c>
      <c r="X113" s="123">
        <f>'Parameters | Agora'!$B$4*0.000531</f>
        <v>31.565826000000001</v>
      </c>
      <c r="Y113" s="123">
        <f>'Parameters | Agora'!$B$4*0.0016102373266805</f>
        <v>95.722168121848995</v>
      </c>
      <c r="Z113" s="123">
        <f>'Parameters | Agora'!$B$4*0.00147767541600946</f>
        <v>87.841892780098362</v>
      </c>
      <c r="AA113" s="123">
        <f>'Parameters | Agora'!$B$4*0.00197361291710815</f>
        <v>117.32339347041108</v>
      </c>
      <c r="AB113" s="123">
        <f>'Parameters | Agora'!$B$4*0.00000091</f>
        <v>5.4095859999999996E-2</v>
      </c>
      <c r="AC113" s="123">
        <f>'Parameters | Agora'!$B$4*0.0000581631781734608</f>
        <v>3.4575682896995508</v>
      </c>
      <c r="AD113" s="123">
        <f>'Parameters | Agora'!$B$4*1.47998348667552E-06</f>
        <v>8.797909834891296E-2</v>
      </c>
      <c r="AE113" s="123">
        <f>'Parameters | Agora'!$B$4*1.47998348667552E-06</f>
        <v>8.797909834891296E-2</v>
      </c>
      <c r="AF113" s="123">
        <f>'Parameters | Agora'!$B$4*0.000281365323992451</f>
        <v>16.726043050055242</v>
      </c>
      <c r="AG113" s="123">
        <f>'Parameters | Agora'!$B$4*3.18761823208958E-07</f>
        <v>1.8949115342479717E-2</v>
      </c>
      <c r="AH113" s="123">
        <f>'Parameters | Agora'!$B$4*1.12867583221181E-09</f>
        <v>6.7095263521663252E-5</v>
      </c>
      <c r="AI113" s="123">
        <f>'Parameters | Agora'!$B$4*1.28216723891975E-10</f>
        <v>7.621971368482345E-6</v>
      </c>
      <c r="AJ113" s="123">
        <f>'Parameters | Agora'!$B$4*7.72437332210266E-10</f>
        <v>4.591830965057147E-5</v>
      </c>
    </row>
    <row r="114" spans="1:36">
      <c r="A114" s="120" t="s">
        <v>534</v>
      </c>
      <c r="B114" s="120" t="s">
        <v>535</v>
      </c>
      <c r="C114" s="120" t="s">
        <v>115</v>
      </c>
      <c r="D114" s="120" t="s">
        <v>322</v>
      </c>
      <c r="E114" s="120" t="s">
        <v>316</v>
      </c>
      <c r="F114" s="121">
        <v>2023</v>
      </c>
      <c r="G114" s="123">
        <f>'Parameters | Agora'!$B$4*0.0000372245262765507</f>
        <v>2.2128491890358331</v>
      </c>
      <c r="H114" s="123">
        <f>'Parameters | Agora'!$B$4*2.59532051350803E-06</f>
        <v>0.15428142324599836</v>
      </c>
      <c r="I114" s="123">
        <f>'Parameters | Agora'!$B$4*3.93586580732525E-07</f>
        <v>2.339714787822568E-2</v>
      </c>
      <c r="J114" s="123">
        <f>'Parameters | Agora'!$B$4*4.88936917779182E-08</f>
        <v>2.9065344014301254E-3</v>
      </c>
      <c r="K114" s="123">
        <f>'Parameters | Agora'!$B$4*9.47442489353364E-08</f>
        <v>5.6321666222100076E-3</v>
      </c>
      <c r="L114" s="123">
        <f>'Parameters | Agora'!$B$4*7.28231373129231E-06</f>
        <v>0.43290442207040264</v>
      </c>
      <c r="M114" s="123">
        <f>'Parameters | Agora'!$B$4*0</f>
        <v>0</v>
      </c>
      <c r="N114" s="123">
        <f>'Parameters | Agora'!$B$4*0</f>
        <v>0</v>
      </c>
      <c r="O114" s="123">
        <f>'Parameters | Agora'!$B$4*0.0000283490350374099</f>
        <v>1.685236736833869</v>
      </c>
      <c r="P114" s="123">
        <f>'Parameters | Agora'!$B$4*0.0000339171850863008</f>
        <v>2.0162409846402372</v>
      </c>
      <c r="Q114" s="123">
        <f>'Parameters | Agora'!$B$4*0.00000332</f>
        <v>0.19736071999999999</v>
      </c>
      <c r="R114" s="123">
        <f>'Parameters | Agora'!$B$4*0.000000228</f>
        <v>1.3553688E-2</v>
      </c>
      <c r="S114" s="123">
        <f>'Parameters | Agora'!$B$4*0.000000010795</f>
        <v>6.4171957000000001E-4</v>
      </c>
      <c r="T114" s="123">
        <f>'Parameters | Agora'!$B$4*8.72910007718841E-07</f>
        <v>5.1891008318854223E-2</v>
      </c>
      <c r="U114" s="123">
        <f>'Parameters | Agora'!$B$4*9.21950944277913E-07</f>
        <v>5.4806295833544821E-2</v>
      </c>
      <c r="V114" s="123">
        <f>'Parameters | Agora'!$B$4*9.21950944277913E-07</f>
        <v>5.4806295833544821E-2</v>
      </c>
      <c r="W114" s="123">
        <f>'Parameters | Agora'!$B$4*3.88785344054027E-06</f>
        <v>0.23111733562635689</v>
      </c>
      <c r="X114" s="123">
        <f>'Parameters | Agora'!$B$4*0.000531</f>
        <v>31.565826000000001</v>
      </c>
      <c r="Y114" s="123">
        <f>'Parameters | Agora'!$B$4*0.0016167236804637</f>
        <v>96.107755908845107</v>
      </c>
      <c r="Z114" s="123">
        <f>'Parameters | Agora'!$B$4*0.00164939322633836</f>
        <v>98.049829732910155</v>
      </c>
      <c r="AA114" s="123">
        <f>'Parameters | Agora'!$B$4*0.00150196142957068</f>
        <v>89.285599142258647</v>
      </c>
      <c r="AB114" s="123">
        <f>'Parameters | Agora'!$B$4*0.00000091</f>
        <v>5.4095859999999996E-2</v>
      </c>
      <c r="AC114" s="123">
        <f>'Parameters | Agora'!$B$4*0.0000328994813752559</f>
        <v>1.9557425698334621</v>
      </c>
      <c r="AD114" s="123">
        <f>'Parameters | Agora'!$B$4*9.54379665866685E-07</f>
        <v>5.6734053617110952E-2</v>
      </c>
      <c r="AE114" s="123">
        <f>'Parameters | Agora'!$B$4*9.54379665866685E-07</f>
        <v>5.6734053617110952E-2</v>
      </c>
      <c r="AF114" s="123">
        <f>'Parameters | Agora'!$B$4*0.000281365323992451</f>
        <v>16.726043050055242</v>
      </c>
      <c r="AG114" s="123">
        <f>'Parameters | Agora'!$B$4*5.49176075152619E-07</f>
        <v>3.2646320963522588E-2</v>
      </c>
      <c r="AH114" s="123">
        <f>'Parameters | Agora'!$B$4*2.61531136106464E-07</f>
        <v>1.554697991698486E-2</v>
      </c>
      <c r="AI114" s="123">
        <f>'Parameters | Agora'!$B$4*1.0872357257871E-07</f>
        <v>6.4631814955139954E-3</v>
      </c>
      <c r="AJ114" s="123">
        <f>'Parameters | Agora'!$B$4*2.52016044012037E-09</f>
        <v>1.4981345752339552E-4</v>
      </c>
    </row>
    <row r="115" spans="1:36">
      <c r="A115" s="120" t="s">
        <v>536</v>
      </c>
      <c r="B115" s="120" t="s">
        <v>537</v>
      </c>
      <c r="C115" s="120" t="s">
        <v>117</v>
      </c>
      <c r="D115" s="120" t="s">
        <v>325</v>
      </c>
      <c r="E115" s="120" t="s">
        <v>316</v>
      </c>
      <c r="F115" s="121">
        <v>2023</v>
      </c>
      <c r="G115" s="123">
        <f>'Parameters | Agora'!$B$4*0.000138219967936643</f>
        <v>8.2166242139616799</v>
      </c>
      <c r="H115" s="123">
        <f>'Parameters | Agora'!$B$4*2.59532051350803E-06</f>
        <v>0.15428142324599836</v>
      </c>
      <c r="I115" s="123">
        <f>'Parameters | Agora'!$B$4*1.00397200050559E-06</f>
        <v>5.9682119542055309E-2</v>
      </c>
      <c r="J115" s="123">
        <f>'Parameters | Agora'!$B$4*1.25062212908419E-07</f>
        <v>7.4344483085538758E-3</v>
      </c>
      <c r="K115" s="123">
        <f>'Parameters | Agora'!$B$4*2.41676362448576E-07</f>
        <v>1.436669304211805E-2</v>
      </c>
      <c r="L115" s="123">
        <f>'Parameters | Agora'!$B$4*7.28231373129231E-06</f>
        <v>0.43290442207040264</v>
      </c>
      <c r="M115" s="123">
        <f>'Parameters | Agora'!$B$4*0.0000580032819577826</f>
        <v>3.4480630992623444</v>
      </c>
      <c r="N115" s="123">
        <f>'Parameters | Agora'!$B$4*7.52284556819611E-06</f>
        <v>0.44720307764698591</v>
      </c>
      <c r="O115" s="123">
        <f>'Parameters | Agora'!$B$4*0.0000530260067606921</f>
        <v>3.1521839978961026</v>
      </c>
      <c r="P115" s="123">
        <f>'Parameters | Agora'!$B$4*0.000079495592520935</f>
        <v>4.725694992999502</v>
      </c>
      <c r="Q115" s="123">
        <f>'Parameters | Agora'!$B$4*0.00000332</f>
        <v>0.19736071999999999</v>
      </c>
      <c r="R115" s="123">
        <f>'Parameters | Agora'!$B$4*0.000000228</f>
        <v>1.3553688E-2</v>
      </c>
      <c r="S115" s="123">
        <f>'Parameters | Agora'!$B$4*0.000000010795</f>
        <v>6.4171957000000001E-4</v>
      </c>
      <c r="T115" s="123">
        <f>'Parameters | Agora'!$B$4*6.16023059777121E-07</f>
        <v>3.6620106811510733E-2</v>
      </c>
      <c r="U115" s="123">
        <f>'Parameters | Agora'!$B$4*5.3368585995956E-07</f>
        <v>3.1725489631156005E-2</v>
      </c>
      <c r="V115" s="123">
        <f>'Parameters | Agora'!$B$4*5.3368585995956E-07</f>
        <v>3.1725489631156005E-2</v>
      </c>
      <c r="W115" s="123">
        <f>'Parameters | Agora'!$B$4*3.88785344054027E-06</f>
        <v>0.23111733562635689</v>
      </c>
      <c r="X115" s="123">
        <f>'Parameters | Agora'!$B$4*0.000531</f>
        <v>31.565826000000001</v>
      </c>
      <c r="Y115" s="123">
        <f>'Parameters | Agora'!$B$4*0.000989979746161575</f>
        <v>58.850335990320986</v>
      </c>
      <c r="Z115" s="123">
        <f>'Parameters | Agora'!$B$4*0.000942837853487214</f>
        <v>56.047939038400926</v>
      </c>
      <c r="AA115" s="123">
        <f>'Parameters | Agora'!$B$4*0.00101134091627964</f>
        <v>60.120172109159476</v>
      </c>
      <c r="AB115" s="123">
        <f>'Parameters | Agora'!$B$4*0.00000091</f>
        <v>5.4095859999999996E-2</v>
      </c>
      <c r="AC115" s="123">
        <f>'Parameters | Agora'!$B$4*0.000122160460204019</f>
        <v>7.261950717288113</v>
      </c>
      <c r="AD115" s="123">
        <f>'Parameters | Agora'!$B$4*1.85304179388048E-06</f>
        <v>0.11015592247901901</v>
      </c>
      <c r="AE115" s="123">
        <f>'Parameters | Agora'!$B$4*1.85304179388048E-06</f>
        <v>0.11015592247901901</v>
      </c>
      <c r="AF115" s="123">
        <f>'Parameters | Agora'!$B$4*0.000281365323992451</f>
        <v>16.726043050055242</v>
      </c>
      <c r="AG115" s="123">
        <f>'Parameters | Agora'!$B$4*4.41631679128705E-07</f>
        <v>2.6253236797484997E-2</v>
      </c>
      <c r="AH115" s="123">
        <f>'Parameters | Agora'!$B$4*8.9999554486251E-08</f>
        <v>5.3501135159896764E-3</v>
      </c>
      <c r="AI115" s="123">
        <f>'Parameters | Agora'!$B$4*4.41505236000561E-10</f>
        <v>2.6245720259289348E-5</v>
      </c>
      <c r="AJ115" s="123">
        <f>'Parameters | Agora'!$B$4*1.61312110860388E-09</f>
        <v>9.5893597422066243E-5</v>
      </c>
    </row>
    <row r="116" spans="1:36">
      <c r="A116" s="120" t="s">
        <v>538</v>
      </c>
      <c r="B116" s="120" t="s">
        <v>539</v>
      </c>
      <c r="C116" s="120" t="s">
        <v>119</v>
      </c>
      <c r="D116" s="120" t="s">
        <v>319</v>
      </c>
      <c r="E116" s="120" t="s">
        <v>316</v>
      </c>
      <c r="F116" s="121">
        <v>2023</v>
      </c>
      <c r="G116" s="123">
        <f>'Parameters | Agora'!$B$4*0.000170754334502023</f>
        <v>10.150662168807258</v>
      </c>
      <c r="H116" s="123">
        <f>'Parameters | Agora'!$B$4*2.59532051350803E-06</f>
        <v>0.15428142324599836</v>
      </c>
      <c r="I116" s="123">
        <f>'Parameters | Agora'!$B$4*1.24028802324407E-06</f>
        <v>7.3730161829766994E-2</v>
      </c>
      <c r="J116" s="123">
        <f>'Parameters | Agora'!$B$4*2.24299408328451E-07</f>
        <v>1.3333702627493097E-2</v>
      </c>
      <c r="K116" s="123">
        <f>'Parameters | Agora'!$B$4*2.98562407811385E-07</f>
        <v>1.774834089475559E-2</v>
      </c>
      <c r="L116" s="123">
        <f>'Parameters | Agora'!$B$4*7.28231373129231E-06</f>
        <v>0.43290442207040264</v>
      </c>
      <c r="M116" s="123">
        <f>'Parameters | Agora'!$B$4*0.00017151708986783</f>
        <v>10.196004924283022</v>
      </c>
      <c r="N116" s="123">
        <f>'Parameters | Agora'!$B$4*0.0000990345598816901</f>
        <v>5.8872084467269499</v>
      </c>
      <c r="O116" s="123">
        <f>'Parameters | Agora'!$B$4*0.000125405317581696</f>
        <v>7.454844508961501</v>
      </c>
      <c r="P116" s="123">
        <f>'Parameters | Agora'!$B$4*0.000115744863684988</f>
        <v>6.8805691666177964</v>
      </c>
      <c r="Q116" s="123">
        <f>'Parameters | Agora'!$B$4*0.00000332</f>
        <v>0.19736071999999999</v>
      </c>
      <c r="R116" s="123">
        <f>'Parameters | Agora'!$B$4*0.000000228</f>
        <v>1.3553688E-2</v>
      </c>
      <c r="S116" s="123">
        <f>'Parameters | Agora'!$B$4*0.000000010795</f>
        <v>6.4171957000000001E-4</v>
      </c>
      <c r="T116" s="123">
        <f>'Parameters | Agora'!$B$4*2.05986718458604E-06</f>
        <v>0.12245086465490174</v>
      </c>
      <c r="U116" s="123">
        <f>'Parameters | Agora'!$B$4*2.89711000416624E-06</f>
        <v>0.17222160130766631</v>
      </c>
      <c r="V116" s="123">
        <f>'Parameters | Agora'!$B$4*2.89711000416624E-06</f>
        <v>0.17222160130766631</v>
      </c>
      <c r="W116" s="123">
        <f>'Parameters | Agora'!$B$4*3.88785344054027E-06</f>
        <v>0.23111733562635689</v>
      </c>
      <c r="X116" s="123">
        <f>'Parameters | Agora'!$B$4*0.000531</f>
        <v>31.565826000000001</v>
      </c>
      <c r="Y116" s="123">
        <f>'Parameters | Agora'!$B$4*0.000903224764311215</f>
        <v>53.69309933924449</v>
      </c>
      <c r="Z116" s="123">
        <f>'Parameters | Agora'!$B$4*0.000877967415278805</f>
        <v>52.191650968663836</v>
      </c>
      <c r="AA116" s="123">
        <f>'Parameters | Agora'!$B$4*0.000961426481646771</f>
        <v>57.152958627973952</v>
      </c>
      <c r="AB116" s="123">
        <f>'Parameters | Agora'!$B$4*0.00000091</f>
        <v>5.4095859999999996E-2</v>
      </c>
      <c r="AC116" s="123">
        <f>'Parameters | Agora'!$B$4*0.000150914722351548</f>
        <v>8.9712765849101217</v>
      </c>
      <c r="AD116" s="123">
        <f>'Parameters | Agora'!$B$4*1.99487875536639E-06</f>
        <v>0.11858756249151041</v>
      </c>
      <c r="AE116" s="123">
        <f>'Parameters | Agora'!$B$4*1.99487875536639E-06</f>
        <v>0.11858756249151041</v>
      </c>
      <c r="AF116" s="123">
        <f>'Parameters | Agora'!$B$4*0.000281365323992451</f>
        <v>16.726043050055242</v>
      </c>
      <c r="AG116" s="123">
        <f>'Parameters | Agora'!$B$4*1.77060440174185E-06</f>
        <v>0.10525534926594601</v>
      </c>
      <c r="AH116" s="123">
        <f>'Parameters | Agora'!$B$4*1.09990334672914E-06</f>
        <v>6.538485434966046E-2</v>
      </c>
      <c r="AI116" s="123">
        <f>'Parameters | Agora'!$B$4*2.07320563024823E-08</f>
        <v>1.2324378189573627E-3</v>
      </c>
      <c r="AJ116" s="123">
        <f>'Parameters | Agora'!$B$4*5.87019939276183E-09</f>
        <v>3.4895987310211977E-4</v>
      </c>
    </row>
    <row r="117" spans="1:36">
      <c r="A117" s="120" t="s">
        <v>540</v>
      </c>
      <c r="B117" s="120" t="s">
        <v>541</v>
      </c>
      <c r="C117" s="120" t="s">
        <v>114</v>
      </c>
      <c r="D117" s="120" t="s">
        <v>325</v>
      </c>
      <c r="E117" s="120" t="s">
        <v>316</v>
      </c>
      <c r="F117" s="121">
        <v>2023</v>
      </c>
      <c r="G117" s="123">
        <f>'Parameters | Agora'!$B$4*0.000193920613015515</f>
        <v>11.527804761320304</v>
      </c>
      <c r="H117" s="123">
        <f>'Parameters | Agora'!$B$4*2.59532051350803E-06</f>
        <v>0.15428142324599836</v>
      </c>
      <c r="I117" s="123">
        <f>'Parameters | Agora'!$B$4*1.40855817502215E-06</f>
        <v>8.3733149272366733E-2</v>
      </c>
      <c r="J117" s="123">
        <f>'Parameters | Agora'!$B$4*8.62473484142803E-08</f>
        <v>5.1270598738353068E-3</v>
      </c>
      <c r="K117" s="123">
        <f>'Parameters | Agora'!$B$4*3.39068436037188E-07</f>
        <v>2.0156262248666679E-2</v>
      </c>
      <c r="L117" s="123">
        <f>'Parameters | Agora'!$B$4*7.28231373129231E-06</f>
        <v>0.43290442207040264</v>
      </c>
      <c r="M117" s="123">
        <f>'Parameters | Agora'!$B$4*0.000218142577879639</f>
        <v>12.967703684633021</v>
      </c>
      <c r="N117" s="123">
        <f>'Parameters | Agora'!$B$4*0.000337675308266061</f>
        <v>20.073446375184265</v>
      </c>
      <c r="O117" s="123">
        <f>'Parameters | Agora'!$B$4*1.62823712278688E-06</f>
        <v>9.6792184001188872E-2</v>
      </c>
      <c r="P117" s="123">
        <f>'Parameters | Agora'!$B$4*0.000121834601306193</f>
        <v>7.2425797092479494</v>
      </c>
      <c r="Q117" s="123">
        <f>'Parameters | Agora'!$B$4*0.00000332</f>
        <v>0.19736071999999999</v>
      </c>
      <c r="R117" s="123">
        <f>'Parameters | Agora'!$B$4*0.000000228</f>
        <v>1.3553688E-2</v>
      </c>
      <c r="S117" s="123">
        <f>'Parameters | Agora'!$B$4*0.000000010795</f>
        <v>6.4171957000000001E-4</v>
      </c>
      <c r="T117" s="123">
        <f>'Parameters | Agora'!$B$4*2.77257652609861E-06</f>
        <v>0.16481858417045797</v>
      </c>
      <c r="U117" s="123">
        <f>'Parameters | Agora'!$B$4*0.0000133418278266742</f>
        <v>0.79311829698447456</v>
      </c>
      <c r="V117" s="123">
        <f>'Parameters | Agora'!$B$4*0.0000133418278266742</f>
        <v>0.79311829698447456</v>
      </c>
      <c r="W117" s="123">
        <f>'Parameters | Agora'!$B$4*3.88785344054027E-06</f>
        <v>0.23111733562635689</v>
      </c>
      <c r="X117" s="123">
        <f>'Parameters | Agora'!$B$4*0.000531</f>
        <v>31.565826000000001</v>
      </c>
      <c r="Y117" s="123">
        <f>'Parameters | Agora'!$B$4*0.00110430173159055</f>
        <v>65.646320736131841</v>
      </c>
      <c r="Z117" s="123">
        <f>'Parameters | Agora'!$B$4*0.00109332376886856</f>
        <v>64.993724764160419</v>
      </c>
      <c r="AA117" s="123">
        <f>'Parameters | Agora'!$B$4*0.00112829061309418</f>
        <v>67.072363785996615</v>
      </c>
      <c r="AB117" s="123">
        <f>'Parameters | Agora'!$B$4*0.00000091</f>
        <v>5.4095859999999996E-2</v>
      </c>
      <c r="AC117" s="123">
        <f>'Parameters | Agora'!$B$4*0.000171389356275062</f>
        <v>10.188411673127336</v>
      </c>
      <c r="AD117" s="123">
        <f>'Parameters | Agora'!$B$4*1.65690586244028E-06</f>
        <v>9.8496425898624881E-2</v>
      </c>
      <c r="AE117" s="123">
        <f>'Parameters | Agora'!$B$4*1.65690586244028E-06</f>
        <v>9.8496425898624881E-2</v>
      </c>
      <c r="AF117" s="123">
        <f>'Parameters | Agora'!$B$4*0.000281365323992451</f>
        <v>16.726043050055242</v>
      </c>
      <c r="AG117" s="123">
        <f>'Parameters | Agora'!$B$4*0.0000018340291300177</f>
        <v>0.10902569566303219</v>
      </c>
      <c r="AH117" s="123">
        <f>'Parameters | Agora'!$B$4*0.0000112907505123074</f>
        <v>0.67118995495462574</v>
      </c>
      <c r="AI117" s="123">
        <f>'Parameters | Agora'!$B$4*1.95605984166369E-07</f>
        <v>1.1627993334753972E-2</v>
      </c>
      <c r="AJ117" s="123">
        <f>'Parameters | Agora'!$B$4*2.14422001827699E-08</f>
        <v>1.2746530320649394E-3</v>
      </c>
    </row>
    <row r="118" spans="1:36">
      <c r="A118" s="120" t="s">
        <v>542</v>
      </c>
      <c r="B118" s="120" t="s">
        <v>543</v>
      </c>
      <c r="C118" s="120" t="s">
        <v>119</v>
      </c>
      <c r="D118" s="120" t="s">
        <v>322</v>
      </c>
      <c r="E118" s="120" t="s">
        <v>316</v>
      </c>
      <c r="F118" s="121">
        <v>2023</v>
      </c>
      <c r="G118" s="123">
        <f>'Parameters | Agora'!$B$4*0.000117489510670549</f>
        <v>6.9842814513214559</v>
      </c>
      <c r="H118" s="123">
        <f>'Parameters | Agora'!$B$4*2.59532051350803E-06</f>
        <v>0.15428142324599836</v>
      </c>
      <c r="I118" s="123">
        <f>'Parameters | Agora'!$B$4*2.29208149567804E-07</f>
        <v>1.3625507659207677E-2</v>
      </c>
      <c r="J118" s="123">
        <f>'Parameters | Agora'!$B$4*2.24299408328451E-07</f>
        <v>1.3333702627493097E-2</v>
      </c>
      <c r="K118" s="123">
        <f>'Parameters | Agora'!$B$4*5.51750365580114E-08</f>
        <v>3.2799352232275457E-3</v>
      </c>
      <c r="L118" s="123">
        <f>'Parameters | Agora'!$B$4*7.28231373129231E-06</f>
        <v>0.43290442207040264</v>
      </c>
      <c r="M118" s="123">
        <f>'Parameters | Agora'!$B$4*0.0000330224069375716</f>
        <v>1.9630500028108815</v>
      </c>
      <c r="N118" s="123">
        <f>'Parameters | Agora'!$B$4*0.0000153644522374623</f>
        <v>0.91335522770818378</v>
      </c>
      <c r="O118" s="123">
        <f>'Parameters | Agora'!$B$4*0.000159370231030022</f>
        <v>9.4739227538106885</v>
      </c>
      <c r="P118" s="123">
        <f>'Parameters | Agora'!$B$4*4.57727734765095E-06</f>
        <v>0.27210082920845841</v>
      </c>
      <c r="Q118" s="123">
        <f>'Parameters | Agora'!$B$4*0.00000332</f>
        <v>0.19736071999999999</v>
      </c>
      <c r="R118" s="123">
        <f>'Parameters | Agora'!$B$4*0.000000228</f>
        <v>1.3553688E-2</v>
      </c>
      <c r="S118" s="123">
        <f>'Parameters | Agora'!$B$4*0.000000010795</f>
        <v>6.4171957000000001E-4</v>
      </c>
      <c r="T118" s="123">
        <f>'Parameters | Agora'!$B$4*1.01007186575449E-07</f>
        <v>6.0044732131641415E-3</v>
      </c>
      <c r="U118" s="123">
        <f>'Parameters | Agora'!$B$4*8.84708783872537E-08</f>
        <v>5.259239836608684E-3</v>
      </c>
      <c r="V118" s="123">
        <f>'Parameters | Agora'!$B$4*8.84708783872537E-08</f>
        <v>5.259239836608684E-3</v>
      </c>
      <c r="W118" s="123">
        <f>'Parameters | Agora'!$B$4*3.88785344054027E-06</f>
        <v>0.23111733562635689</v>
      </c>
      <c r="X118" s="123">
        <f>'Parameters | Agora'!$B$4*0.000531</f>
        <v>31.565826000000001</v>
      </c>
      <c r="Y118" s="123">
        <f>'Parameters | Agora'!$B$4*0.000514854331541851</f>
        <v>30.606030592836873</v>
      </c>
      <c r="Z118" s="123">
        <f>'Parameters | Agora'!$B$4*0.000471259553257189</f>
        <v>28.014495402926858</v>
      </c>
      <c r="AA118" s="123">
        <f>'Parameters | Agora'!$B$4*0.000572399438877604</f>
        <v>34.026857043518049</v>
      </c>
      <c r="AB118" s="123">
        <f>'Parameters | Agora'!$B$4*0.00000091</f>
        <v>5.4095859999999996E-2</v>
      </c>
      <c r="AC118" s="123">
        <f>'Parameters | Agora'!$B$4*0.000103838634221347</f>
        <v>6.172791449922193</v>
      </c>
      <c r="AD118" s="123">
        <f>'Parameters | Agora'!$B$4*1.30189933209679E-07</f>
        <v>7.7392707695825786E-3</v>
      </c>
      <c r="AE118" s="123">
        <f>'Parameters | Agora'!$B$4*1.30189933209679E-07</f>
        <v>7.7392707695825786E-3</v>
      </c>
      <c r="AF118" s="123">
        <f>'Parameters | Agora'!$B$4*0.000281365323992451</f>
        <v>16.726043050055242</v>
      </c>
      <c r="AG118" s="123">
        <f>'Parameters | Agora'!$B$4*6.0924537212987E-08</f>
        <v>3.6217200391632253E-3</v>
      </c>
      <c r="AH118" s="123">
        <f>'Parameters | Agora'!$B$4*2.73571490894619E-08</f>
        <v>1.6262730847721521E-3</v>
      </c>
      <c r="AI118" s="123">
        <f>'Parameters | Agora'!$B$4*1.99956089820451E-11</f>
        <v>1.1886589715466529E-6</v>
      </c>
      <c r="AJ118" s="123">
        <f>'Parameters | Agora'!$B$4*1.69196475822776E-10</f>
        <v>1.0058053701760741E-5</v>
      </c>
    </row>
    <row r="119" spans="1:36">
      <c r="A119" s="120" t="s">
        <v>544</v>
      </c>
      <c r="B119" s="120" t="s">
        <v>545</v>
      </c>
      <c r="C119" s="120" t="s">
        <v>118</v>
      </c>
      <c r="D119" s="120" t="s">
        <v>325</v>
      </c>
      <c r="E119" s="120" t="s">
        <v>316</v>
      </c>
      <c r="F119" s="121">
        <v>2023</v>
      </c>
      <c r="G119" s="123">
        <f>'Parameters | Agora'!$B$4*0.000281978689557579</f>
        <v>16.762505179439842</v>
      </c>
      <c r="H119" s="123">
        <f>'Parameters | Agora'!$B$4*2.59532051350803E-06</f>
        <v>0.15428142324599836</v>
      </c>
      <c r="I119" s="123">
        <f>'Parameters | Agora'!$B$4*2.04817518974419E-06</f>
        <v>0.12175582232953311</v>
      </c>
      <c r="J119" s="123">
        <f>'Parameters | Agora'!$B$4*2.87307050554589E-07</f>
        <v>1.7079254927268098E-2</v>
      </c>
      <c r="K119" s="123">
        <f>'Parameters | Agora'!$B$4*4.9303718556446E-07</f>
        <v>2.9309088533064888E-2</v>
      </c>
      <c r="L119" s="123">
        <f>'Parameters | Agora'!$B$4*7.28231373129231E-06</f>
        <v>0.43290442207040264</v>
      </c>
      <c r="M119" s="123">
        <f>'Parameters | Agora'!$B$4*0.0000579809455391666</f>
        <v>3.4467352885212978</v>
      </c>
      <c r="N119" s="123">
        <f>'Parameters | Agora'!$B$4*0.0000180918174566821</f>
        <v>1.0754861805299243</v>
      </c>
      <c r="O119" s="123">
        <f>'Parameters | Agora'!$B$4*0.000120223506077561</f>
        <v>7.1468065422866918</v>
      </c>
      <c r="P119" s="123">
        <f>'Parameters | Agora'!$B$4*0.000342355245952125</f>
        <v>20.351649950870023</v>
      </c>
      <c r="Q119" s="123">
        <f>'Parameters | Agora'!$B$4*0.00000332</f>
        <v>0.19736071999999999</v>
      </c>
      <c r="R119" s="123">
        <f>'Parameters | Agora'!$B$4*0.000000228</f>
        <v>1.3553688E-2</v>
      </c>
      <c r="S119" s="123">
        <f>'Parameters | Agora'!$B$4*0.000000010795</f>
        <v>6.4171957000000001E-4</v>
      </c>
      <c r="T119" s="123">
        <f>'Parameters | Agora'!$B$4*1.96496095351632E-06</f>
        <v>0.11680906884273115</v>
      </c>
      <c r="U119" s="123">
        <f>'Parameters | Agora'!$B$4*0.0000311692712578701</f>
        <v>1.852888499195346</v>
      </c>
      <c r="V119" s="123">
        <f>'Parameters | Agora'!$B$4*0.0000311692712578701</f>
        <v>1.852888499195346</v>
      </c>
      <c r="W119" s="123">
        <f>'Parameters | Agora'!$B$4*3.88785344054027E-06</f>
        <v>0.23111733562635689</v>
      </c>
      <c r="X119" s="123">
        <f>'Parameters | Agora'!$B$4*0.000531</f>
        <v>31.565826000000001</v>
      </c>
      <c r="Y119" s="123">
        <f>'Parameters | Agora'!$B$4*0.00100376324795088</f>
        <v>59.669710037688013</v>
      </c>
      <c r="Z119" s="123">
        <f>'Parameters | Agora'!$B$4*0.000983098344410858</f>
        <v>58.44126418184787</v>
      </c>
      <c r="AA119" s="123">
        <f>'Parameters | Agora'!$B$4*0.0010172643182637</f>
        <v>60.472294663503909</v>
      </c>
      <c r="AB119" s="123">
        <f>'Parameters | Agora'!$B$4*0.00000091</f>
        <v>5.4095859999999996E-2</v>
      </c>
      <c r="AC119" s="123">
        <f>'Parameters | Agora'!$B$4*0.000249216137134903</f>
        <v>14.814902488121444</v>
      </c>
      <c r="AD119" s="123">
        <f>'Parameters | Agora'!$B$4*2.72613393121971E-06</f>
        <v>0.16205775767528688</v>
      </c>
      <c r="AE119" s="123">
        <f>'Parameters | Agora'!$B$4*2.72613393121971E-06</f>
        <v>0.16205775767528688</v>
      </c>
      <c r="AF119" s="123">
        <f>'Parameters | Agora'!$B$4*0.000281365323992451</f>
        <v>16.726043050055242</v>
      </c>
      <c r="AG119" s="123">
        <f>'Parameters | Agora'!$B$4*1.15035463966969E-06</f>
        <v>6.8383981909804395E-2</v>
      </c>
      <c r="AH119" s="123">
        <f>'Parameters | Agora'!$B$4*0.0000300471003834923</f>
        <v>1.7861799293970833</v>
      </c>
      <c r="AI119" s="123">
        <f>-'Parameters | Agora'!$B$4*4.14485549414276E-08</f>
        <v>-2.4639507970481054E-3</v>
      </c>
      <c r="AJ119" s="123">
        <f>'Parameters | Agora'!$B$4*1.3264789649475E-08</f>
        <v>7.8853868550269083E-4</v>
      </c>
    </row>
    <row r="120" spans="1:36">
      <c r="A120" s="120" t="s">
        <v>546</v>
      </c>
      <c r="B120" s="120" t="s">
        <v>547</v>
      </c>
      <c r="C120" s="120" t="s">
        <v>115</v>
      </c>
      <c r="D120" s="120" t="s">
        <v>121</v>
      </c>
      <c r="E120" s="120" t="s">
        <v>316</v>
      </c>
      <c r="F120" s="121">
        <v>2023</v>
      </c>
      <c r="G120" s="123">
        <f>'Parameters | Agora'!$B$4*0.000011089905645684</f>
        <v>0.65925053101333109</v>
      </c>
      <c r="H120" s="123">
        <f>'Parameters | Agora'!$B$4*2.59532051350803E-06</f>
        <v>0.15428142324599836</v>
      </c>
      <c r="I120" s="123">
        <f>'Parameters | Agora'!$B$4*1.26617400054796E-06</f>
        <v>7.5268979636574029E-2</v>
      </c>
      <c r="J120" s="123">
        <f>'Parameters | Agora'!$B$4*4.88936917779182E-08</f>
        <v>2.9065344014301254E-3</v>
      </c>
      <c r="K120" s="123">
        <f>'Parameters | Agora'!$B$4*3.04793686004482E-07</f>
        <v>1.8118765458222438E-2</v>
      </c>
      <c r="L120" s="123">
        <f>'Parameters | Agora'!$B$4*7.28231373129231E-06</f>
        <v>0.43290442207040264</v>
      </c>
      <c r="M120" s="123">
        <f>'Parameters | Agora'!$B$4*0.0000370034282322066</f>
        <v>2.1997057946917535</v>
      </c>
      <c r="N120" s="123">
        <f>'Parameters | Agora'!$B$4*5.45019726508286E-07</f>
        <v>3.2399242662011572E-2</v>
      </c>
      <c r="O120" s="123">
        <f>'Parameters | Agora'!$B$4*0</f>
        <v>0</v>
      </c>
      <c r="P120" s="123">
        <f>'Parameters | Agora'!$B$4*0</f>
        <v>0</v>
      </c>
      <c r="Q120" s="123">
        <f>'Parameters | Agora'!$B$4*0.00000332</f>
        <v>0.19736071999999999</v>
      </c>
      <c r="R120" s="123">
        <f>'Parameters | Agora'!$B$4*0.000000228</f>
        <v>1.3553688E-2</v>
      </c>
      <c r="S120" s="123">
        <f>'Parameters | Agora'!$B$4*0.000000010795</f>
        <v>6.4171957000000001E-4</v>
      </c>
      <c r="T120" s="123">
        <f>'Parameters | Agora'!$B$4*2.16389704240991E-06</f>
        <v>0.1286350235830995</v>
      </c>
      <c r="U120" s="123">
        <f>'Parameters | Agora'!$B$4*1.92850495522229E-06</f>
        <v>0.11464190556814424</v>
      </c>
      <c r="V120" s="123">
        <f>'Parameters | Agora'!$B$4*1.92850495522229E-06</f>
        <v>0.11464190556814424</v>
      </c>
      <c r="W120" s="123">
        <f>'Parameters | Agora'!$B$4*3.88785344054027E-06</f>
        <v>0.23111733562635689</v>
      </c>
      <c r="X120" s="123">
        <f>'Parameters | Agora'!$B$4*0.000531</f>
        <v>31.565826000000001</v>
      </c>
      <c r="Y120" s="123">
        <f>'Parameters | Agora'!$B$4*0.000446261140284464</f>
        <v>26.528439745350248</v>
      </c>
      <c r="Z120" s="123">
        <f>'Parameters | Agora'!$B$4*0.00041385111333643</f>
        <v>24.601793283397416</v>
      </c>
      <c r="AA120" s="123">
        <f>'Parameters | Agora'!$B$4*0.00045207832460847</f>
        <v>26.874248084675109</v>
      </c>
      <c r="AB120" s="123">
        <f>'Parameters | Agora'!$B$4*0.00000091</f>
        <v>5.4095859999999996E-2</v>
      </c>
      <c r="AC120" s="123">
        <f>'Parameters | Agora'!$B$4*9.80139119925782E-06</f>
        <v>0.5826535012310804</v>
      </c>
      <c r="AD120" s="123">
        <f>'Parameters | Agora'!$B$4*2.03853428567055E-06</f>
        <v>0.12118270914597151</v>
      </c>
      <c r="AE120" s="123">
        <f>'Parameters | Agora'!$B$4*2.03853428567055E-06</f>
        <v>0.12118270914597151</v>
      </c>
      <c r="AF120" s="123">
        <f>'Parameters | Agora'!$B$4*0.000281365323992451</f>
        <v>16.726043050055242</v>
      </c>
      <c r="AG120" s="123">
        <f>'Parameters | Agora'!$B$4*1.85475218673076E-06</f>
        <v>0.11025759849239676</v>
      </c>
      <c r="AH120" s="123">
        <f>'Parameters | Agora'!$B$4*2.8586303006164E-08</f>
        <v>1.6993413685044252E-3</v>
      </c>
      <c r="AI120" s="123">
        <f>'Parameters | Agora'!$B$4*3.78833452473812E-08</f>
        <v>2.2520133415758229E-3</v>
      </c>
      <c r="AJ120" s="123">
        <f>'Parameters | Agora'!$B$4*7.28312023797757E-09</f>
        <v>4.3295236566681466E-4</v>
      </c>
    </row>
    <row r="121" spans="1:36">
      <c r="A121" s="120" t="s">
        <v>548</v>
      </c>
      <c r="B121" s="120" t="s">
        <v>549</v>
      </c>
      <c r="C121" s="120" t="s">
        <v>114</v>
      </c>
      <c r="D121" s="120" t="s">
        <v>121</v>
      </c>
      <c r="E121" s="120" t="s">
        <v>316</v>
      </c>
      <c r="F121" s="121">
        <v>2023</v>
      </c>
      <c r="G121" s="123">
        <f>'Parameters | Agora'!$B$4*9.08768602587525E-06</f>
        <v>0.54022658349418007</v>
      </c>
      <c r="H121" s="123">
        <f>'Parameters | Agora'!$B$4*2.59532051350803E-06</f>
        <v>0.15428142324599836</v>
      </c>
      <c r="I121" s="123">
        <f>'Parameters | Agora'!$B$4*0.000001440015383949</f>
        <v>8.5603154514232255E-2</v>
      </c>
      <c r="J121" s="123">
        <f>'Parameters | Agora'!$B$4*8.62473484142803E-08</f>
        <v>5.1270598738353068E-3</v>
      </c>
      <c r="K121" s="123">
        <f>'Parameters | Agora'!$B$4*3.46640822341187E-07</f>
        <v>2.06064103248942E-2</v>
      </c>
      <c r="L121" s="123">
        <f>'Parameters | Agora'!$B$4*7.28231373129231E-06</f>
        <v>0.43290442207040264</v>
      </c>
      <c r="M121" s="123">
        <f>'Parameters | Agora'!$B$4*0.0000990583297972962</f>
        <v>5.8886214731300699</v>
      </c>
      <c r="N121" s="123">
        <f>'Parameters | Agora'!$B$4*0.0000634526878116404</f>
        <v>3.7720084796507751</v>
      </c>
      <c r="O121" s="123">
        <f>'Parameters | Agora'!$B$4*0.0000542578653708177</f>
        <v>3.2254130648336292</v>
      </c>
      <c r="P121" s="123">
        <f>'Parameters | Agora'!$B$4*0.000146835502235823</f>
        <v>8.7287832659107334</v>
      </c>
      <c r="Q121" s="123">
        <f>'Parameters | Agora'!$B$4*0.00000332</f>
        <v>0.19736071999999999</v>
      </c>
      <c r="R121" s="123">
        <f>'Parameters | Agora'!$B$4*0.000000228</f>
        <v>1.3553688E-2</v>
      </c>
      <c r="S121" s="123">
        <f>'Parameters | Agora'!$B$4*0.000000010795</f>
        <v>6.4171957000000001E-4</v>
      </c>
      <c r="T121" s="123">
        <f>'Parameters | Agora'!$B$4*2.73429483805686E-06</f>
        <v>0.1625428909431281</v>
      </c>
      <c r="U121" s="123">
        <f>'Parameters | Agora'!$B$4*0.0000183185744616335</f>
        <v>1.088965977446265</v>
      </c>
      <c r="V121" s="123">
        <f>'Parameters | Agora'!$B$4*0.0000183185744616335</f>
        <v>1.088965977446265</v>
      </c>
      <c r="W121" s="123">
        <f>'Parameters | Agora'!$B$4*3.88785344054027E-06</f>
        <v>0.23111733562635689</v>
      </c>
      <c r="X121" s="123">
        <f>'Parameters | Agora'!$B$4*0.000531</f>
        <v>31.565826000000001</v>
      </c>
      <c r="Y121" s="123">
        <f>'Parameters | Agora'!$B$4*0.000334290458101898</f>
        <v>19.872230572325428</v>
      </c>
      <c r="Z121" s="123">
        <f>'Parameters | Agora'!$B$4*0.000322642706948522</f>
        <v>19.179818357261841</v>
      </c>
      <c r="AA121" s="123">
        <f>'Parameters | Agora'!$B$4*0.000337396525076131</f>
        <v>20.056873829675684</v>
      </c>
      <c r="AB121" s="123">
        <f>'Parameters | Agora'!$B$4*0.00000091</f>
        <v>5.4095859999999996E-2</v>
      </c>
      <c r="AC121" s="123">
        <f>'Parameters | Agora'!$B$4*8.03180556096952E-06</f>
        <v>0.47745871337739404</v>
      </c>
      <c r="AD121" s="123">
        <f>'Parameters | Agora'!$B$4*9.5209277851416E-07</f>
        <v>5.6598107311552757E-2</v>
      </c>
      <c r="AE121" s="123">
        <f>'Parameters | Agora'!$B$4*9.5209277851416E-07</f>
        <v>5.6598107311552757E-2</v>
      </c>
      <c r="AF121" s="123">
        <f>'Parameters | Agora'!$B$4*0.000281365323992451</f>
        <v>16.726043050055242</v>
      </c>
      <c r="AG121" s="123">
        <f>'Parameters | Agora'!$B$4*2.05963117199945E-06</f>
        <v>0.12243683465067931</v>
      </c>
      <c r="AH121" s="123">
        <f>'Parameters | Agora'!$B$4*0.000016138538063504</f>
        <v>0.95937153372305883</v>
      </c>
      <c r="AI121" s="123">
        <f>'Parameters | Agora'!$B$4*1.07588157488427E-07</f>
        <v>6.3956856100570317E-3</v>
      </c>
      <c r="AJ121" s="123">
        <f>'Parameters | Agora'!$B$4*1.28170686416967E-08</f>
        <v>7.6192346247430198E-4</v>
      </c>
    </row>
    <row r="122" spans="1:36">
      <c r="A122" s="120" t="s">
        <v>550</v>
      </c>
      <c r="B122" s="120" t="s">
        <v>551</v>
      </c>
      <c r="C122" s="120" t="s">
        <v>116</v>
      </c>
      <c r="D122" s="120" t="s">
        <v>325</v>
      </c>
      <c r="E122" s="120" t="s">
        <v>316</v>
      </c>
      <c r="F122" s="121">
        <v>2023</v>
      </c>
      <c r="G122" s="123">
        <f>'Parameters | Agora'!$B$4*0.000115250367534199</f>
        <v>6.8511733484379933</v>
      </c>
      <c r="H122" s="123">
        <f>'Parameters | Agora'!$B$4*2.59532051350803E-06</f>
        <v>0.15428142324599836</v>
      </c>
      <c r="I122" s="123">
        <f>'Parameters | Agora'!$B$4*8.37130436214201E-07</f>
        <v>4.9764055911189396E-2</v>
      </c>
      <c r="J122" s="123">
        <f>'Parameters | Agora'!$B$4*8.63343994036925E-08</f>
        <v>5.1322347069519044E-3</v>
      </c>
      <c r="K122" s="123">
        <f>'Parameters | Agora'!$B$4*2.01514224119153E-07</f>
        <v>1.1979214566987169E-2</v>
      </c>
      <c r="L122" s="123">
        <f>'Parameters | Agora'!$B$4*7.28231373129231E-06</f>
        <v>0.43290442207040264</v>
      </c>
      <c r="M122" s="123">
        <f>'Parameters | Agora'!$B$4*0.000794033112771525</f>
        <v>47.202092421816076</v>
      </c>
      <c r="N122" s="123">
        <f>'Parameters | Agora'!$B$4*0.0000262222958874842</f>
        <v>1.5588106013273857</v>
      </c>
      <c r="O122" s="123">
        <f>'Parameters | Agora'!$B$4*0.0000710365081441013</f>
        <v>4.222836263134246</v>
      </c>
      <c r="P122" s="123">
        <f>'Parameters | Agora'!$B$4*0.0000633757523961838</f>
        <v>3.7674349769435422</v>
      </c>
      <c r="Q122" s="123">
        <f>'Parameters | Agora'!$B$4*0.00000332</f>
        <v>0.19736071999999999</v>
      </c>
      <c r="R122" s="123">
        <f>'Parameters | Agora'!$B$4*0.000000228</f>
        <v>1.3553688E-2</v>
      </c>
      <c r="S122" s="123">
        <f>'Parameters | Agora'!$B$4*0.000000010795</f>
        <v>6.4171957000000001E-4</v>
      </c>
      <c r="T122" s="123">
        <f>'Parameters | Agora'!$B$4*1.85739612870609E-06</f>
        <v>0.11041477026706223</v>
      </c>
      <c r="U122" s="123">
        <f>'Parameters | Agora'!$B$4*4.31095363726135E-06</f>
        <v>0.2562689499206382</v>
      </c>
      <c r="V122" s="123">
        <f>'Parameters | Agora'!$B$4*4.31095363726135E-06</f>
        <v>0.2562689499206382</v>
      </c>
      <c r="W122" s="123">
        <f>'Parameters | Agora'!$B$4*3.88785344054027E-06</f>
        <v>0.23111733562635689</v>
      </c>
      <c r="X122" s="123">
        <f>'Parameters | Agora'!$B$4*0.000531</f>
        <v>31.565826000000001</v>
      </c>
      <c r="Y122" s="123">
        <f>'Parameters | Agora'!$B$4*0.000421937313597447</f>
        <v>25.082485544113833</v>
      </c>
      <c r="Z122" s="123">
        <f>'Parameters | Agora'!$B$4*0.000407696929263534</f>
        <v>24.23595165700004</v>
      </c>
      <c r="AA122" s="123">
        <f>'Parameters | Agora'!$B$4*0.000441188203530331</f>
        <v>26.226873947064057</v>
      </c>
      <c r="AB122" s="123">
        <f>'Parameters | Agora'!$B$4*0.00000091</f>
        <v>5.4095859999999996E-2</v>
      </c>
      <c r="AC122" s="123">
        <f>'Parameters | Agora'!$B$4*0.00010185965274651</f>
        <v>6.055148917169034</v>
      </c>
      <c r="AD122" s="123">
        <f>'Parameters | Agora'!$B$4*6.19003553016971E-07</f>
        <v>3.6797285212646857E-2</v>
      </c>
      <c r="AE122" s="123">
        <f>'Parameters | Agora'!$B$4*6.19003553016971E-07</f>
        <v>3.6797285212646857E-2</v>
      </c>
      <c r="AF122" s="123">
        <f>'Parameters | Agora'!$B$4*0.000281365323992451</f>
        <v>16.726043050055242</v>
      </c>
      <c r="AG122" s="123">
        <f>'Parameters | Agora'!$B$4*1.47351477059873E-06</f>
        <v>8.7594559053012111E-2</v>
      </c>
      <c r="AH122" s="123">
        <f>'Parameters | Agora'!$B$4*2.76424582165207E-06</f>
        <v>0.16432335711392895</v>
      </c>
      <c r="AI122" s="123">
        <f>'Parameters | Agora'!$B$4*6.05377531816801E-08</f>
        <v>3.598727275638155E-3</v>
      </c>
      <c r="AJ122" s="123">
        <f>'Parameters | Agora'!$B$4*1.26552918288802E-08</f>
        <v>7.5230647805961241E-4</v>
      </c>
    </row>
    <row r="123" spans="1:36">
      <c r="A123" s="120" t="s">
        <v>552</v>
      </c>
      <c r="B123" s="120" t="s">
        <v>553</v>
      </c>
      <c r="C123" s="120" t="s">
        <v>119</v>
      </c>
      <c r="D123" s="120" t="s">
        <v>319</v>
      </c>
      <c r="E123" s="120" t="s">
        <v>316</v>
      </c>
      <c r="F123" s="121">
        <v>2023</v>
      </c>
      <c r="G123" s="123">
        <f>'Parameters | Agora'!$B$4*0.000186997618938092</f>
        <v>11.116260455393817</v>
      </c>
      <c r="H123" s="123">
        <f>'Parameters | Agora'!$B$4*2.59532051350803E-06</f>
        <v>0.15428142324599836</v>
      </c>
      <c r="I123" s="123">
        <f>'Parameters | Agora'!$B$4*1.35827244339338E-06</f>
        <v>8.0743863669962862E-2</v>
      </c>
      <c r="J123" s="123">
        <f>'Parameters | Agora'!$B$4*2.24299408328451E-07</f>
        <v>1.3333702627493097E-2</v>
      </c>
      <c r="K123" s="123">
        <f>'Parameters | Agora'!$B$4*3.26963643575859E-07</f>
        <v>1.9436680756010512E-2</v>
      </c>
      <c r="L123" s="123">
        <f>'Parameters | Agora'!$B$4*7.28231373129231E-06</f>
        <v>0.43290442207040264</v>
      </c>
      <c r="M123" s="123">
        <f>'Parameters | Agora'!$B$4*0.000159600736244327</f>
        <v>9.4876253667802626</v>
      </c>
      <c r="N123" s="123">
        <f>'Parameters | Agora'!$B$4*0.0000112036423347944</f>
        <v>0.66601172223418792</v>
      </c>
      <c r="O123" s="123">
        <f>'Parameters | Agora'!$B$4*0</f>
        <v>0</v>
      </c>
      <c r="P123" s="123">
        <f>'Parameters | Agora'!$B$4*0.0000103830949282901</f>
        <v>0.61723346110713329</v>
      </c>
      <c r="Q123" s="123">
        <f>'Parameters | Agora'!$B$4*0.00000332</f>
        <v>0.19736071999999999</v>
      </c>
      <c r="R123" s="123">
        <f>'Parameters | Agora'!$B$4*0.000000228</f>
        <v>1.3553688E-2</v>
      </c>
      <c r="S123" s="123">
        <f>'Parameters | Agora'!$B$4*0.000000010795</f>
        <v>6.4171957000000001E-4</v>
      </c>
      <c r="T123" s="123">
        <f>-'Parameters | Agora'!$B$4*1.86212008747279E-09</f>
        <v>-1.1069559071990747E-4</v>
      </c>
      <c r="U123" s="123">
        <f>'Parameters | Agora'!$B$4*2.37906153774503E-08</f>
        <v>1.4142569217279106E-3</v>
      </c>
      <c r="V123" s="123">
        <f>'Parameters | Agora'!$B$4*2.37906153774503E-08</f>
        <v>1.4142569217279106E-3</v>
      </c>
      <c r="W123" s="123">
        <f>'Parameters | Agora'!$B$4*3.88785344054027E-06</f>
        <v>0.23111733562635689</v>
      </c>
      <c r="X123" s="123">
        <f>'Parameters | Agora'!$B$4*0.000531</f>
        <v>31.565826000000001</v>
      </c>
      <c r="Y123" s="123">
        <f>'Parameters | Agora'!$B$4*0.0014626727781126</f>
        <v>86.950045967681632</v>
      </c>
      <c r="Z123" s="123">
        <f>'Parameters | Agora'!$B$4*0.0014195071607326</f>
        <v>84.384022676910135</v>
      </c>
      <c r="AA123" s="123">
        <f>'Parameters | Agora'!$B$4*0.00161929397090352</f>
        <v>96.260549394330653</v>
      </c>
      <c r="AB123" s="123">
        <f>'Parameters | Agora'!$B$4*0.00000091</f>
        <v>5.4095859999999996E-2</v>
      </c>
      <c r="AC123" s="123">
        <f>'Parameters | Agora'!$B$4*0.000165270731338936</f>
        <v>9.8246838951743882</v>
      </c>
      <c r="AD123" s="123">
        <f>'Parameters | Agora'!$B$4*5.83768813034458E-07</f>
        <v>3.4702720859646388E-2</v>
      </c>
      <c r="AE123" s="123">
        <f>'Parameters | Agora'!$B$4*5.83768813034458E-07</f>
        <v>3.4702720859646388E-2</v>
      </c>
      <c r="AF123" s="123">
        <f>'Parameters | Agora'!$B$4*0.000281365323992451</f>
        <v>16.726043050055242</v>
      </c>
      <c r="AG123" s="123">
        <f>'Parameters | Agora'!$B$4*0</f>
        <v>0</v>
      </c>
      <c r="AH123" s="123">
        <f>'Parameters | Agora'!$B$4*2.43577191029228E-08</f>
        <v>1.4479689697923489E-3</v>
      </c>
      <c r="AI123" s="123">
        <f>-'Parameters | Agora'!$B$4*1.15767714487466E-09</f>
        <v>-6.8819275554219043E-5</v>
      </c>
      <c r="AJ123" s="123">
        <f>'Parameters | Agora'!$B$4*5.90573419402133E-10</f>
        <v>3.5107227489779199E-5</v>
      </c>
    </row>
    <row r="124" spans="1:36">
      <c r="A124" s="120" t="s">
        <v>554</v>
      </c>
      <c r="B124" s="120" t="s">
        <v>555</v>
      </c>
      <c r="C124" s="120" t="s">
        <v>119</v>
      </c>
      <c r="D124" s="120" t="s">
        <v>325</v>
      </c>
      <c r="E124" s="120" t="s">
        <v>316</v>
      </c>
      <c r="F124" s="121">
        <v>2023</v>
      </c>
      <c r="G124" s="123">
        <f>'Parameters | Agora'!$B$4*0.000145811908936835</f>
        <v>8.6679347386590937</v>
      </c>
      <c r="H124" s="123">
        <f>'Parameters | Agora'!$B$4*2.59532051350803E-06</f>
        <v>0.15428142324599836</v>
      </c>
      <c r="I124" s="123">
        <f>'Parameters | Agora'!$B$4*1.05911668261967E-06</f>
        <v>6.2960250315008903E-2</v>
      </c>
      <c r="J124" s="123">
        <f>'Parameters | Agora'!$B$4*2.24299408328451E-07</f>
        <v>1.3333702627493097E-2</v>
      </c>
      <c r="K124" s="123">
        <f>'Parameters | Agora'!$B$4*2.54950802547505E-07</f>
        <v>1.5155805408238982E-2</v>
      </c>
      <c r="L124" s="123">
        <f>'Parameters | Agora'!$B$4*7.28231373129231E-06</f>
        <v>0.43290442207040264</v>
      </c>
      <c r="M124" s="123">
        <f>'Parameters | Agora'!$B$4*0.000286895207669608</f>
        <v>17.054772515127517</v>
      </c>
      <c r="N124" s="123">
        <f>'Parameters | Agora'!$B$4*0.0000902251127757881</f>
        <v>5.3635220540694988</v>
      </c>
      <c r="O124" s="123">
        <f>'Parameters | Agora'!$B$4*0.000192331905090191</f>
        <v>11.433362429991496</v>
      </c>
      <c r="P124" s="123">
        <f>'Parameters | Agora'!$B$4*0.000154888211712531</f>
        <v>9.2074846334631175</v>
      </c>
      <c r="Q124" s="123">
        <f>'Parameters | Agora'!$B$4*0.00000332</f>
        <v>0.19736071999999999</v>
      </c>
      <c r="R124" s="123">
        <f>'Parameters | Agora'!$B$4*0.000000228</f>
        <v>1.3553688E-2</v>
      </c>
      <c r="S124" s="123">
        <f>'Parameters | Agora'!$B$4*0.000000010795</f>
        <v>6.4171957000000001E-4</v>
      </c>
      <c r="T124" s="123">
        <f>'Parameters | Agora'!$B$4*1.69135978481683E-06</f>
        <v>0.10054457376822128</v>
      </c>
      <c r="U124" s="123">
        <f>'Parameters | Agora'!$B$4*2.45432202886426E-06</f>
        <v>0.14589962732786479</v>
      </c>
      <c r="V124" s="123">
        <f>'Parameters | Agora'!$B$4*2.45432202886426E-06</f>
        <v>0.14589962732786479</v>
      </c>
      <c r="W124" s="123">
        <f>'Parameters | Agora'!$B$4*3.88785344054027E-06</f>
        <v>0.23111733562635689</v>
      </c>
      <c r="X124" s="123">
        <f>'Parameters | Agora'!$B$4*0.000531</f>
        <v>31.565826000000001</v>
      </c>
      <c r="Y124" s="123">
        <f>'Parameters | Agora'!$B$4*0.00189644768736439</f>
        <v>112.73622922306352</v>
      </c>
      <c r="Z124" s="123">
        <f>'Parameters | Agora'!$B$4*0.00190939970248298</f>
        <v>113.50617471380323</v>
      </c>
      <c r="AA124" s="123">
        <f>'Parameters | Agora'!$B$4*0.00188588156976765</f>
        <v>112.10811579640772</v>
      </c>
      <c r="AB124" s="123">
        <f>'Parameters | Agora'!$B$4*0.00000091</f>
        <v>5.4095859999999996E-2</v>
      </c>
      <c r="AC124" s="123">
        <f>'Parameters | Agora'!$B$4*0.00012887030842834</f>
        <v>7.6608243548310995</v>
      </c>
      <c r="AD124" s="123">
        <f>'Parameters | Agora'!$B$4*2.42277170831132E-06</f>
        <v>0.14402408697227473</v>
      </c>
      <c r="AE124" s="123">
        <f>'Parameters | Agora'!$B$4*2.42277170831132E-06</f>
        <v>0.14402408697227473</v>
      </c>
      <c r="AF124" s="123">
        <f>'Parameters | Agora'!$B$4*0.000281365323992451</f>
        <v>16.726043050055242</v>
      </c>
      <c r="AG124" s="123">
        <f>'Parameters | Agora'!$B$4*1.30634450245435E-06</f>
        <v>7.7656955292901286E-2</v>
      </c>
      <c r="AH124" s="123">
        <f>'Parameters | Agora'!$B$4*1.07865201245842E-06</f>
        <v>6.412154753260324E-2</v>
      </c>
      <c r="AI124" s="123">
        <f>'Parameters | Agora'!$B$4*6.33746585062976E-08</f>
        <v>3.7673699495653669E-3</v>
      </c>
      <c r="AJ124" s="123">
        <f>'Parameters | Agora'!$B$4*5.95085544519268E-09</f>
        <v>3.5375455279492405E-4</v>
      </c>
    </row>
    <row r="125" spans="1:36">
      <c r="A125" s="120" t="s">
        <v>556</v>
      </c>
      <c r="B125" s="120" t="s">
        <v>557</v>
      </c>
      <c r="C125" s="120" t="s">
        <v>115</v>
      </c>
      <c r="D125" s="120" t="s">
        <v>121</v>
      </c>
      <c r="E125" s="120" t="s">
        <v>316</v>
      </c>
      <c r="F125" s="121">
        <v>2023</v>
      </c>
      <c r="G125" s="123">
        <f>'Parameters | Agora'!$B$4*0.0000109009852080579</f>
        <v>0.64801996667820994</v>
      </c>
      <c r="H125" s="123">
        <f>'Parameters | Agora'!$B$4*2.59532051350803E-06</f>
        <v>0.15428142324599836</v>
      </c>
      <c r="I125" s="123">
        <f>'Parameters | Agora'!$B$4*1.01401829470063E-06</f>
        <v>6.0279331546773646E-2</v>
      </c>
      <c r="J125" s="123">
        <f>'Parameters | Agora'!$B$4*4.88936917779182E-08</f>
        <v>2.9065344014301254E-3</v>
      </c>
      <c r="K125" s="123">
        <f>'Parameters | Agora'!$B$4*2.44094708613532E-07</f>
        <v>1.4510454048240024E-2</v>
      </c>
      <c r="L125" s="123">
        <f>'Parameters | Agora'!$B$4*7.28231373129231E-06</f>
        <v>0.43290442207040264</v>
      </c>
      <c r="M125" s="123">
        <f>'Parameters | Agora'!$B$4*0.0000447526433297763</f>
        <v>2.6603656353818819</v>
      </c>
      <c r="N125" s="123">
        <f>'Parameters | Agora'!$B$4*2.65363825600206E-06</f>
        <v>0.15774817976629846</v>
      </c>
      <c r="O125" s="123">
        <f>'Parameters | Agora'!$B$4*0.0000166227487538079</f>
        <v>0.9881559224188643</v>
      </c>
      <c r="P125" s="123">
        <f>'Parameters | Agora'!$B$4*1.25805192563019E-06</f>
        <v>7.4786154771012275E-2</v>
      </c>
      <c r="Q125" s="123">
        <f>'Parameters | Agora'!$B$4*0.00000332</f>
        <v>0.19736071999999999</v>
      </c>
      <c r="R125" s="123">
        <f>'Parameters | Agora'!$B$4*0.000000228</f>
        <v>1.3553688E-2</v>
      </c>
      <c r="S125" s="123">
        <f>'Parameters | Agora'!$B$4*0.000000010795</f>
        <v>6.4171957000000001E-4</v>
      </c>
      <c r="T125" s="123">
        <f>'Parameters | Agora'!$B$4*3.21070044773628E-07</f>
        <v>1.9086329881613091E-2</v>
      </c>
      <c r="U125" s="123">
        <f>'Parameters | Agora'!$B$4*1.11370024525728E-07</f>
        <v>6.6205024779564265E-3</v>
      </c>
      <c r="V125" s="123">
        <f>'Parameters | Agora'!$B$4*1.11370024525728E-07</f>
        <v>6.6205024779564265E-3</v>
      </c>
      <c r="W125" s="123">
        <f>'Parameters | Agora'!$B$4*3.88785344054027E-06</f>
        <v>0.23111733562635689</v>
      </c>
      <c r="X125" s="123">
        <f>'Parameters | Agora'!$B$4*0.000531</f>
        <v>31.565826000000001</v>
      </c>
      <c r="Y125" s="123">
        <f>'Parameters | Agora'!$B$4*0.000226860223567575</f>
        <v>13.485932850198063</v>
      </c>
      <c r="Z125" s="123">
        <f>'Parameters | Agora'!$B$4*0.000209935730698248</f>
        <v>12.47983944708805</v>
      </c>
      <c r="AA125" s="123">
        <f>'Parameters | Agora'!$B$4*0.000258908731341407</f>
        <v>15.39108844332128</v>
      </c>
      <c r="AB125" s="123">
        <f>'Parameters | Agora'!$B$4*0.00000091</f>
        <v>5.4095859999999996E-2</v>
      </c>
      <c r="AC125" s="123">
        <f>'Parameters | Agora'!$B$4*9.63442105777347E-06</f>
        <v>0.57272779420040176</v>
      </c>
      <c r="AD125" s="123">
        <f>'Parameters | Agora'!$B$4*4.21265377513359E-07</f>
        <v>2.504254163165914E-2</v>
      </c>
      <c r="AE125" s="123">
        <f>'Parameters | Agora'!$B$4*4.21265377513359E-07</f>
        <v>2.504254163165914E-2</v>
      </c>
      <c r="AF125" s="123">
        <f>'Parameters | Agora'!$B$4*0.000281365323992451</f>
        <v>16.726043050055242</v>
      </c>
      <c r="AG125" s="123">
        <f>'Parameters | Agora'!$B$4*1.15525509118613E-07</f>
        <v>6.8675294150650689E-3</v>
      </c>
      <c r="AH125" s="123">
        <f>'Parameters | Agora'!$B$4*8.44956198416971E-10</f>
        <v>5.0229266171095259E-5</v>
      </c>
      <c r="AI125" s="123">
        <f>-'Parameters | Agora'!$B$4*8.10469503033345E-09</f>
        <v>-4.8179170077320229E-4</v>
      </c>
      <c r="AJ125" s="123">
        <f>'Parameters | Agora'!$B$4*3.10425423903185E-09</f>
        <v>1.8453549749348735E-4</v>
      </c>
    </row>
    <row r="126" spans="1:36">
      <c r="A126" s="120" t="s">
        <v>558</v>
      </c>
      <c r="B126" s="120" t="s">
        <v>559</v>
      </c>
      <c r="C126" s="120" t="s">
        <v>118</v>
      </c>
      <c r="D126" s="120" t="s">
        <v>325</v>
      </c>
      <c r="E126" s="120" t="s">
        <v>316</v>
      </c>
      <c r="F126" s="121">
        <v>2023</v>
      </c>
      <c r="G126" s="123">
        <f>'Parameters | Agora'!$B$4*0.000304135261023664</f>
        <v>18.079624726812728</v>
      </c>
      <c r="H126" s="123">
        <f>'Parameters | Agora'!$B$4*2.59532051350803E-06</f>
        <v>0.15428142324599836</v>
      </c>
      <c r="I126" s="123">
        <f>'Parameters | Agora'!$B$4*2.20911125210348E-06</f>
        <v>0.13132282749254345</v>
      </c>
      <c r="J126" s="123">
        <f>'Parameters | Agora'!$B$4*2.87307050554589E-07</f>
        <v>1.7079254927268098E-2</v>
      </c>
      <c r="K126" s="123">
        <f>'Parameters | Agora'!$B$4*5.31777750160089E-07</f>
        <v>3.1612060136016654E-2</v>
      </c>
      <c r="L126" s="123">
        <f>'Parameters | Agora'!$B$4*7.28231373129231E-06</f>
        <v>0.43290442207040264</v>
      </c>
      <c r="M126" s="123">
        <f>'Parameters | Agora'!$B$4*0.000117833933472362</f>
        <v>7.0047560091980312</v>
      </c>
      <c r="N126" s="123">
        <f>'Parameters | Agora'!$B$4*0.0000305066492922316</f>
        <v>1.8134982738259997</v>
      </c>
      <c r="O126" s="123">
        <f>'Parameters | Agora'!$B$4*0.0000527345969405597</f>
        <v>3.1348608497285118</v>
      </c>
      <c r="P126" s="123">
        <f>'Parameters | Agora'!$B$4*0.000150267082967155</f>
        <v>8.932777014065497</v>
      </c>
      <c r="Q126" s="123">
        <f>'Parameters | Agora'!$B$4*0.00000332</f>
        <v>0.19736071999999999</v>
      </c>
      <c r="R126" s="123">
        <f>'Parameters | Agora'!$B$4*0.000000228</f>
        <v>1.3553688E-2</v>
      </c>
      <c r="S126" s="123">
        <f>'Parameters | Agora'!$B$4*0.000000010795</f>
        <v>6.4171957000000001E-4</v>
      </c>
      <c r="T126" s="123">
        <f>'Parameters | Agora'!$B$4*3.25826985378434E-07</f>
        <v>1.9369110972806389E-2</v>
      </c>
      <c r="U126" s="123">
        <f>'Parameters | Agora'!$B$4*5.99602385945667E-07</f>
        <v>3.5643963434926117E-2</v>
      </c>
      <c r="V126" s="123">
        <f>'Parameters | Agora'!$B$4*5.99602385945667E-07</f>
        <v>3.5643963434926117E-2</v>
      </c>
      <c r="W126" s="123">
        <f>'Parameters | Agora'!$B$4*3.88785344054027E-06</f>
        <v>0.23111733562635689</v>
      </c>
      <c r="X126" s="123">
        <f>'Parameters | Agora'!$B$4*0.000531</f>
        <v>31.565826000000001</v>
      </c>
      <c r="Y126" s="123">
        <f>'Parameters | Agora'!$B$4*0.00169212754319345</f>
        <v>100.59021393267783</v>
      </c>
      <c r="Z126" s="123">
        <f>'Parameters | Agora'!$B$4*0.00163778233384692</f>
        <v>97.359608617863998</v>
      </c>
      <c r="AA126" s="123">
        <f>'Parameters | Agora'!$B$4*0.00174140953427788</f>
        <v>103.51983117468285</v>
      </c>
      <c r="AB126" s="123">
        <f>'Parameters | Agora'!$B$4*0.00000091</f>
        <v>5.4095859999999996E-2</v>
      </c>
      <c r="AC126" s="123">
        <f>'Parameters | Agora'!$B$4*0.00026879837989798</f>
        <v>15.978988491415318</v>
      </c>
      <c r="AD126" s="123">
        <f>'Parameters | Agora'!$B$4*3.09625857295535E-06</f>
        <v>0.18406018712790373</v>
      </c>
      <c r="AE126" s="123">
        <f>'Parameters | Agora'!$B$4*3.09625857295535E-06</f>
        <v>0.18406018712790373</v>
      </c>
      <c r="AF126" s="123">
        <f>'Parameters | Agora'!$B$4*0.000281365323992451</f>
        <v>16.726043050055242</v>
      </c>
      <c r="AG126" s="123">
        <f>'Parameters | Agora'!$B$4*0</f>
        <v>0</v>
      </c>
      <c r="AH126" s="123">
        <f>'Parameters | Agora'!$B$4*5.6506221486124E-07</f>
        <v>3.3590688424641267E-2</v>
      </c>
      <c r="AI126" s="123">
        <f>'Parameters | Agora'!$B$4*3.0341567695466E-08</f>
        <v>1.803684833224672E-3</v>
      </c>
      <c r="AJ126" s="123">
        <f>'Parameters | Agora'!$B$4*4.19860338896128E-09</f>
        <v>2.4959017706019225E-4</v>
      </c>
    </row>
    <row r="127" spans="1:36">
      <c r="A127" s="120" t="s">
        <v>560</v>
      </c>
      <c r="B127" s="120" t="s">
        <v>561</v>
      </c>
      <c r="C127" s="120" t="s">
        <v>114</v>
      </c>
      <c r="D127" s="120" t="s">
        <v>322</v>
      </c>
      <c r="E127" s="120" t="s">
        <v>316</v>
      </c>
      <c r="F127" s="121">
        <v>2023</v>
      </c>
      <c r="G127" s="123">
        <f>'Parameters | Agora'!$B$4*0.0000227738134205593</f>
        <v>1.353812112598568</v>
      </c>
      <c r="H127" s="123">
        <f>'Parameters | Agora'!$B$4*2.59532051350803E-06</f>
        <v>0.15428142324599836</v>
      </c>
      <c r="I127" s="123">
        <f>'Parameters | Agora'!$B$4*2.90647959957128E-07</f>
        <v>1.7277858627611432E-2</v>
      </c>
      <c r="J127" s="123">
        <f>'Parameters | Agora'!$B$4*8.62473484142803E-08</f>
        <v>5.1270598738353068E-3</v>
      </c>
      <c r="K127" s="123">
        <f>'Parameters | Agora'!$B$4*0.0000000699648413304</f>
        <v>4.1591299577269578E-3</v>
      </c>
      <c r="L127" s="123">
        <f>'Parameters | Agora'!$B$4*7.28231373129231E-06</f>
        <v>0.43290442207040264</v>
      </c>
      <c r="M127" s="123">
        <f>'Parameters | Agora'!$B$4*0.0000494793119766254</f>
        <v>2.9413471797624733</v>
      </c>
      <c r="N127" s="123">
        <f>'Parameters | Agora'!$B$4*0.0000449130843010184</f>
        <v>2.6699032093583397</v>
      </c>
      <c r="O127" s="123">
        <f>'Parameters | Agora'!$B$4*0.0000855021274530371</f>
        <v>5.0827594685732436</v>
      </c>
      <c r="P127" s="123">
        <f>'Parameters | Agora'!$B$4*0.000879226163704294</f>
        <v>52.266478527565461</v>
      </c>
      <c r="Q127" s="123">
        <f>'Parameters | Agora'!$B$4*0.00000332</f>
        <v>0.19736071999999999</v>
      </c>
      <c r="R127" s="123">
        <f>'Parameters | Agora'!$B$4*0.000000228</f>
        <v>1.3553688E-2</v>
      </c>
      <c r="S127" s="123">
        <f>'Parameters | Agora'!$B$4*0.000000010795</f>
        <v>6.4171957000000001E-4</v>
      </c>
      <c r="T127" s="123">
        <f>'Parameters | Agora'!$B$4*6.9869251481215E-07</f>
        <v>4.1534475235523075E-2</v>
      </c>
      <c r="U127" s="123">
        <f>'Parameters | Agora'!$B$4*2.30606857574843E-06</f>
        <v>0.13708655255394117</v>
      </c>
      <c r="V127" s="123">
        <f>'Parameters | Agora'!$B$4*2.30606857574843E-06</f>
        <v>0.13708655255394117</v>
      </c>
      <c r="W127" s="123">
        <f>'Parameters | Agora'!$B$4*3.88785344054027E-06</f>
        <v>0.23111733562635689</v>
      </c>
      <c r="X127" s="123">
        <f>'Parameters | Agora'!$B$4*0.000531</f>
        <v>31.565826000000001</v>
      </c>
      <c r="Y127" s="123">
        <f>'Parameters | Agora'!$B$4*0.000669148936170213</f>
        <v>39.778227659574483</v>
      </c>
      <c r="Z127" s="123">
        <f>'Parameters | Agora'!$B$4*0.000668293246993525</f>
        <v>39.727360360777084</v>
      </c>
      <c r="AA127" s="123">
        <f>'Parameters | Agora'!$B$4*0.000677705827937095</f>
        <v>40.286900647548549</v>
      </c>
      <c r="AB127" s="123">
        <f>'Parameters | Agora'!$B$4*0.00000091</f>
        <v>5.4095859999999996E-2</v>
      </c>
      <c r="AC127" s="123">
        <f>'Parameters | Agora'!$B$4*0.0000201277685821142</f>
        <v>1.1965153311323609</v>
      </c>
      <c r="AD127" s="123">
        <f>'Parameters | Agora'!$B$4*5.05532150780148E-07</f>
        <v>3.0051864235276674E-2</v>
      </c>
      <c r="AE127" s="123">
        <f>'Parameters | Agora'!$B$4*5.05532150780148E-07</f>
        <v>3.0051864235276674E-2</v>
      </c>
      <c r="AF127" s="123">
        <f>'Parameters | Agora'!$B$4*0.000281365323992451</f>
        <v>16.726043050055242</v>
      </c>
      <c r="AG127" s="123">
        <f>'Parameters | Agora'!$B$4*4.8913466481218E-07</f>
        <v>2.9077099284424854E-2</v>
      </c>
      <c r="AH127" s="123">
        <f>'Parameters | Agora'!$B$4*1.75434806219973E-06</f>
        <v>0.10428897490552516</v>
      </c>
      <c r="AI127" s="123">
        <f>'Parameters | Agora'!$B$4*5.80303891101145E-08</f>
        <v>3.4496745110398665E-3</v>
      </c>
      <c r="AJ127" s="123">
        <f>'Parameters | Agora'!$B$4*4.55545962640505E-09</f>
        <v>2.7080385295127457E-4</v>
      </c>
    </row>
    <row r="128" spans="1:36">
      <c r="A128" s="120" t="s">
        <v>562</v>
      </c>
      <c r="B128" s="120" t="s">
        <v>563</v>
      </c>
      <c r="C128" s="120" t="s">
        <v>116</v>
      </c>
      <c r="D128" s="120" t="s">
        <v>121</v>
      </c>
      <c r="E128" s="120" t="s">
        <v>316</v>
      </c>
      <c r="F128" s="121">
        <v>2023</v>
      </c>
      <c r="G128" s="123">
        <f>'Parameters | Agora'!$B$4*0.0000257580487664652</f>
        <v>1.5312129669712904</v>
      </c>
      <c r="H128" s="123">
        <f>'Parameters | Agora'!$B$4*2.59532051350803E-06</f>
        <v>0.15428142324599836</v>
      </c>
      <c r="I128" s="123">
        <f>'Parameters | Agora'!$B$4*1.52697038597737E-06</f>
        <v>9.0772281564810736E-2</v>
      </c>
      <c r="J128" s="123">
        <f>'Parameters | Agora'!$B$4*8.63343994036925E-08</f>
        <v>5.1322347069519044E-3</v>
      </c>
      <c r="K128" s="123">
        <f>'Parameters | Agora'!$B$4*3.67572649699263E-07</f>
        <v>2.1850723734022387E-2</v>
      </c>
      <c r="L128" s="123">
        <f>'Parameters | Agora'!$B$4*7.28231373129231E-06</f>
        <v>0.43290442207040264</v>
      </c>
      <c r="M128" s="123">
        <f>'Parameters | Agora'!$B$4*0</f>
        <v>0</v>
      </c>
      <c r="N128" s="123">
        <f>'Parameters | Agora'!$B$4*0.0014652628271511</f>
        <v>87.104014022824288</v>
      </c>
      <c r="O128" s="123">
        <f>'Parameters | Agora'!$B$4*0.000532449917646963</f>
        <v>31.652017804441364</v>
      </c>
      <c r="P128" s="123">
        <f>'Parameters | Agora'!$B$4*0.000359640250890819</f>
        <v>21.379174354455628</v>
      </c>
      <c r="Q128" s="123">
        <f>'Parameters | Agora'!$B$4*0.00000332</f>
        <v>0.19736071999999999</v>
      </c>
      <c r="R128" s="123">
        <f>'Parameters | Agora'!$B$4*0.000000228</f>
        <v>1.3553688E-2</v>
      </c>
      <c r="S128" s="123">
        <f>'Parameters | Agora'!$B$4*0.000000010795</f>
        <v>6.4171957000000001E-4</v>
      </c>
      <c r="T128" s="123">
        <f>'Parameters | Agora'!$B$4*3.08394259501566E-06</f>
        <v>0.18332805150330092</v>
      </c>
      <c r="U128" s="123">
        <f>'Parameters | Agora'!$B$4*0.0000149307496819641</f>
        <v>0.88757334559403789</v>
      </c>
      <c r="V128" s="123">
        <f>'Parameters | Agora'!$B$4*0.0000149307496819641</f>
        <v>0.88757334559403789</v>
      </c>
      <c r="W128" s="123">
        <f>'Parameters | Agora'!$B$4*3.88785344054027E-06</f>
        <v>0.23111733562635689</v>
      </c>
      <c r="X128" s="123">
        <f>'Parameters | Agora'!$B$4*0.000531</f>
        <v>31.565826000000001</v>
      </c>
      <c r="Y128" s="123">
        <f>'Parameters | Agora'!$B$4*0.000289291378730917</f>
        <v>17.197215300038092</v>
      </c>
      <c r="Z128" s="123">
        <f>'Parameters | Agora'!$B$4*0.000284870967171362</f>
        <v>16.934439514468785</v>
      </c>
      <c r="AA128" s="123">
        <f>'Parameters | Agora'!$B$4*0.000291992741350646</f>
        <v>17.357800502330502</v>
      </c>
      <c r="AB128" s="123">
        <f>'Parameters | Agora'!$B$4*0.00000091</f>
        <v>5.4095859999999996E-2</v>
      </c>
      <c r="AC128" s="123">
        <f>'Parameters | Agora'!$B$4*0.0000227652714599913</f>
        <v>1.3533043272106429</v>
      </c>
      <c r="AD128" s="123">
        <f>'Parameters | Agora'!$B$4*1.30947767193089E-07</f>
        <v>7.7843209685603699E-3</v>
      </c>
      <c r="AE128" s="123">
        <f>'Parameters | Agora'!$B$4*1.30947767193089E-07</f>
        <v>7.7843209685603699E-3</v>
      </c>
      <c r="AF128" s="123">
        <f>'Parameters | Agora'!$B$4*0.000281365323992451</f>
        <v>16.726043050055242</v>
      </c>
      <c r="AG128" s="123">
        <f>'Parameters | Agora'!$B$4*2.63471187529616E-06</f>
        <v>0.15662308213885553</v>
      </c>
      <c r="AH128" s="123">
        <f>'Parameters | Agora'!$B$4*0.0000122344246080578</f>
        <v>0.72728760525060399</v>
      </c>
      <c r="AI128" s="123">
        <f>'Parameters | Agora'!$B$4*2.4631912079902E-08</f>
        <v>1.4642686455018543E-3</v>
      </c>
      <c r="AJ128" s="123">
        <f>'Parameters | Agora'!$B$4*3.69812865301929E-08</f>
        <v>2.1983895590738469E-3</v>
      </c>
    </row>
    <row r="129" spans="1:36">
      <c r="A129" s="120" t="s">
        <v>564</v>
      </c>
      <c r="B129" s="120" t="s">
        <v>565</v>
      </c>
      <c r="C129" s="120" t="s">
        <v>114</v>
      </c>
      <c r="D129" s="120" t="s">
        <v>325</v>
      </c>
      <c r="E129" s="120" t="s">
        <v>316</v>
      </c>
      <c r="F129" s="121">
        <v>2023</v>
      </c>
      <c r="G129" s="123">
        <f>'Parameters | Agora'!$B$4*0.0000789305124580362</f>
        <v>4.6921032435804202</v>
      </c>
      <c r="H129" s="123">
        <f>'Parameters | Agora'!$B$4*2.59532051350803E-06</f>
        <v>0.15428142324599836</v>
      </c>
      <c r="I129" s="123">
        <f>'Parameters | Agora'!$B$4*5.73318209202235E-07</f>
        <v>3.4081474264236064E-2</v>
      </c>
      <c r="J129" s="123">
        <f>'Parameters | Agora'!$B$4*8.62473484142803E-08</f>
        <v>5.1270598738353068E-3</v>
      </c>
      <c r="K129" s="123">
        <f>'Parameters | Agora'!$B$4*1.38009286370289E-07</f>
        <v>8.2041000375682009E-3</v>
      </c>
      <c r="L129" s="123">
        <f>'Parameters | Agora'!$B$4*7.28231373129231E-06</f>
        <v>0.43290442207040264</v>
      </c>
      <c r="M129" s="123">
        <f>'Parameters | Agora'!$B$4*0</f>
        <v>0</v>
      </c>
      <c r="N129" s="123">
        <f>'Parameters | Agora'!$B$4*0</f>
        <v>0</v>
      </c>
      <c r="O129" s="123">
        <f>'Parameters | Agora'!$B$4*0.000255756403375104</f>
        <v>15.203695155036431</v>
      </c>
      <c r="P129" s="123">
        <f>'Parameters | Agora'!$B$4*0.0001239781934736</f>
        <v>7.3700076892316257</v>
      </c>
      <c r="Q129" s="123">
        <f>'Parameters | Agora'!$B$4*0.00000332</f>
        <v>0.19736071999999999</v>
      </c>
      <c r="R129" s="123">
        <f>'Parameters | Agora'!$B$4*0.000000228</f>
        <v>1.3553688E-2</v>
      </c>
      <c r="S129" s="123">
        <f>'Parameters | Agora'!$B$4*0.000000010795</f>
        <v>6.4171957000000001E-4</v>
      </c>
      <c r="T129" s="123">
        <f>'Parameters | Agora'!$B$4*1.15827024756033E-06</f>
        <v>6.8854533136471385E-2</v>
      </c>
      <c r="U129" s="123">
        <f>'Parameters | Agora'!$B$4*9.14481800295449E-06</f>
        <v>0.54362285100363261</v>
      </c>
      <c r="V129" s="123">
        <f>'Parameters | Agora'!$B$4*9.14481800295449E-06</f>
        <v>0.54362285100363261</v>
      </c>
      <c r="W129" s="123">
        <f>'Parameters | Agora'!$B$4*3.88785344054027E-06</f>
        <v>0.23111733562635689</v>
      </c>
      <c r="X129" s="123">
        <f>'Parameters | Agora'!$B$4*0.000531</f>
        <v>31.565826000000001</v>
      </c>
      <c r="Y129" s="123">
        <f>'Parameters | Agora'!$B$4*0.000516475919987652</f>
        <v>30.702427539585962</v>
      </c>
      <c r="Z129" s="123">
        <f>'Parameters | Agora'!$B$4*0.00051008532930164</f>
        <v>30.322532485665288</v>
      </c>
      <c r="AA129" s="123">
        <f>'Parameters | Agora'!$B$4*0.000552495612945171</f>
        <v>32.843654207138634</v>
      </c>
      <c r="AB129" s="123">
        <f>'Parameters | Agora'!$B$4*0.00000091</f>
        <v>5.4095859999999996E-2</v>
      </c>
      <c r="AC129" s="123">
        <f>'Parameters | Agora'!$B$4*0.0000697597305942986</f>
        <v>4.1469369449086741</v>
      </c>
      <c r="AD129" s="123">
        <f>'Parameters | Agora'!$B$4*5.41320427606978E-08</f>
        <v>3.2179334139524414E-3</v>
      </c>
      <c r="AE129" s="123">
        <f>'Parameters | Agora'!$B$4*5.41320427606978E-08</f>
        <v>3.2179334139524414E-3</v>
      </c>
      <c r="AF129" s="123">
        <f>'Parameters | Agora'!$B$4*0.000281365323992451</f>
        <v>16.726043050055242</v>
      </c>
      <c r="AG129" s="123">
        <f>'Parameters | Agora'!$B$4*9.63835190231508E-07</f>
        <v>5.7296146718502229E-2</v>
      </c>
      <c r="AH129" s="123">
        <f>'Parameters | Agora'!$B$4*0.0000081562766133814</f>
        <v>0.48485801955907071</v>
      </c>
      <c r="AI129" s="123">
        <f>'Parameters | Agora'!$B$4*1.04974263194815E-08</f>
        <v>6.2403000498789728E-4</v>
      </c>
      <c r="AJ129" s="123">
        <f>'Parameters | Agora'!$B$4*1.4208773022101E-08</f>
        <v>8.4465472107181599E-4</v>
      </c>
    </row>
    <row r="130" spans="1:36">
      <c r="A130" s="120" t="s">
        <v>566</v>
      </c>
      <c r="B130" s="120" t="s">
        <v>567</v>
      </c>
      <c r="C130" s="120" t="s">
        <v>116</v>
      </c>
      <c r="D130" s="120" t="s">
        <v>322</v>
      </c>
      <c r="E130" s="120" t="s">
        <v>316</v>
      </c>
      <c r="F130" s="121">
        <v>2023</v>
      </c>
      <c r="G130" s="123">
        <f>'Parameters | Agora'!$B$4*0.0000936844121438003</f>
        <v>5.5691635643003528</v>
      </c>
      <c r="H130" s="123">
        <f>'Parameters | Agora'!$B$4*2.59532051350803E-06</f>
        <v>0.15428142324599836</v>
      </c>
      <c r="I130" s="123">
        <f>'Parameters | Agora'!$B$4*4.80073410375238E-07</f>
        <v>2.8538443953166397E-2</v>
      </c>
      <c r="J130" s="123">
        <f>'Parameters | Agora'!$B$4*8.63343994036925E-08</f>
        <v>5.1322347069519044E-3</v>
      </c>
      <c r="K130" s="123">
        <f>'Parameters | Agora'!$B$4*1.15563377732987E-07</f>
        <v>6.8697805527151452E-3</v>
      </c>
      <c r="L130" s="123">
        <f>'Parameters | Agora'!$B$4*7.28231373129231E-06</f>
        <v>0.43290442207040264</v>
      </c>
      <c r="M130" s="123">
        <f>'Parameters | Agora'!$B$4*9.50586654178099E-06</f>
        <v>0.5650857424427127</v>
      </c>
      <c r="N130" s="123">
        <f>'Parameters | Agora'!$B$4*0.0000145335489189157</f>
        <v>0.86396134903386279</v>
      </c>
      <c r="O130" s="123">
        <f>'Parameters | Agora'!$B$4*0.0000199168098536311</f>
        <v>1.1839746785589544</v>
      </c>
      <c r="P130" s="123">
        <f>'Parameters | Agora'!$B$4*7.42747678071628E-06</f>
        <v>0.44153378470645999</v>
      </c>
      <c r="Q130" s="123">
        <f>'Parameters | Agora'!$B$4*0.00000332</f>
        <v>0.19736071999999999</v>
      </c>
      <c r="R130" s="123">
        <f>'Parameters | Agora'!$B$4*0.000000228</f>
        <v>1.3553688E-2</v>
      </c>
      <c r="S130" s="123">
        <f>'Parameters | Agora'!$B$4*0.000000010795</f>
        <v>6.4171957000000001E-4</v>
      </c>
      <c r="T130" s="123">
        <f>'Parameters | Agora'!$B$4*7.82726875250446E-07</f>
        <v>4.652998182613801E-2</v>
      </c>
      <c r="U130" s="123">
        <f>'Parameters | Agora'!$B$4*8.54770266418607E-07</f>
        <v>5.0812673257520508E-2</v>
      </c>
      <c r="V130" s="123">
        <f>'Parameters | Agora'!$B$4*8.54770266418607E-07</f>
        <v>5.0812673257520508E-2</v>
      </c>
      <c r="W130" s="123">
        <f>'Parameters | Agora'!$B$4*3.88785344054027E-06</f>
        <v>0.23111733562635689</v>
      </c>
      <c r="X130" s="123">
        <f>'Parameters | Agora'!$B$4*0.000531</f>
        <v>31.565826000000001</v>
      </c>
      <c r="Y130" s="123">
        <f>'Parameters | Agora'!$B$4*0.000363479050126318</f>
        <v>21.607375613809101</v>
      </c>
      <c r="Z130" s="123">
        <f>'Parameters | Agora'!$B$4*0.000338380984114346</f>
        <v>20.115395981661411</v>
      </c>
      <c r="AA130" s="123">
        <f>'Parameters | Agora'!$B$4*0.000390644015692216</f>
        <v>23.222224156839474</v>
      </c>
      <c r="AB130" s="123">
        <f>'Parameters | Agora'!$B$4*0.00000091</f>
        <v>5.4095859999999996E-2</v>
      </c>
      <c r="AC130" s="123">
        <f>'Parameters | Agora'!$B$4*0.0000827994035324593</f>
        <v>4.9220933423905757</v>
      </c>
      <c r="AD130" s="123">
        <f>'Parameters | Agora'!$B$4*2.82505874535968E-11</f>
        <v>1.6793844217665154E-6</v>
      </c>
      <c r="AE130" s="123">
        <f>'Parameters | Agora'!$B$4*2.82505874535968E-11</f>
        <v>1.6793844217665154E-6</v>
      </c>
      <c r="AF130" s="123">
        <f>'Parameters | Agora'!$B$4*0.000281365323992451</f>
        <v>16.726043050055242</v>
      </c>
      <c r="AG130" s="123">
        <f>'Parameters | Agora'!$B$4*6.93769932748522E-07</f>
        <v>4.1241847422168638E-2</v>
      </c>
      <c r="AH130" s="123">
        <f>'Parameters | Agora'!$B$4*1.56472124276904E-07</f>
        <v>9.3016418997648349E-3</v>
      </c>
      <c r="AI130" s="123">
        <f>'Parameters | Agora'!$B$4*2.83279775264557E-13</f>
        <v>1.6839849520376854E-8</v>
      </c>
      <c r="AJ130" s="123">
        <f>'Parameters | Agora'!$B$4*4.52792611340557E-09</f>
        <v>2.691670957375075E-4</v>
      </c>
    </row>
    <row r="131" spans="1:36">
      <c r="A131" s="120" t="s">
        <v>568</v>
      </c>
      <c r="B131" s="120" t="s">
        <v>569</v>
      </c>
      <c r="C131" s="120" t="s">
        <v>116</v>
      </c>
      <c r="D131" s="120" t="s">
        <v>322</v>
      </c>
      <c r="E131" s="120" t="s">
        <v>316</v>
      </c>
      <c r="F131" s="121">
        <v>2023</v>
      </c>
      <c r="G131" s="123">
        <f>'Parameters | Agora'!$B$4*0.0000683177236954357</f>
        <v>4.0612154027988705</v>
      </c>
      <c r="H131" s="123">
        <f>'Parameters | Agora'!$B$4*2.59532051350803E-06</f>
        <v>0.15428142324599836</v>
      </c>
      <c r="I131" s="123">
        <f>'Parameters | Agora'!$B$4*7.47726328776491E-07</f>
        <v>4.4449339340447286E-2</v>
      </c>
      <c r="J131" s="123">
        <f>'Parameters | Agora'!$B$4*8.63343994036925E-08</f>
        <v>5.1322347069519044E-3</v>
      </c>
      <c r="K131" s="123">
        <f>'Parameters | Agora'!$B$4*1.79992847564202E-07</f>
        <v>1.0699854816301552E-2</v>
      </c>
      <c r="L131" s="123">
        <f>'Parameters | Agora'!$B$4*7.28231373129231E-06</f>
        <v>0.43290442207040264</v>
      </c>
      <c r="M131" s="123">
        <f>'Parameters | Agora'!$B$4*0.000267631618962161</f>
        <v>15.909629220824621</v>
      </c>
      <c r="N131" s="123">
        <f>'Parameters | Agora'!$B$4*0.000343209751309922</f>
        <v>20.402446876369623</v>
      </c>
      <c r="O131" s="123">
        <f>'Parameters | Agora'!$B$4*0.000112285036044116</f>
        <v>6.6748962526785203</v>
      </c>
      <c r="P131" s="123">
        <f>'Parameters | Agora'!$B$4*0.000229384414401046</f>
        <v>13.635985898484579</v>
      </c>
      <c r="Q131" s="123">
        <f>'Parameters | Agora'!$B$4*0.00000332</f>
        <v>0.19736071999999999</v>
      </c>
      <c r="R131" s="123">
        <f>'Parameters | Agora'!$B$4*0.000000228</f>
        <v>1.3553688E-2</v>
      </c>
      <c r="S131" s="123">
        <f>'Parameters | Agora'!$B$4*0.000000010795</f>
        <v>6.4171957000000001E-4</v>
      </c>
      <c r="T131" s="123">
        <f>'Parameters | Agora'!$B$4*1.19023937640805E-06</f>
        <v>7.0754969969952938E-2</v>
      </c>
      <c r="U131" s="123">
        <f>'Parameters | Agora'!$B$4*0.0000065861812678372</f>
        <v>0.39152213164785021</v>
      </c>
      <c r="V131" s="123">
        <f>'Parameters | Agora'!$B$4*0.0000065861812678372</f>
        <v>0.39152213164785021</v>
      </c>
      <c r="W131" s="123">
        <f>'Parameters | Agora'!$B$4*3.88785344054027E-06</f>
        <v>0.23111733562635689</v>
      </c>
      <c r="X131" s="123">
        <f>'Parameters | Agora'!$B$4*0.000531</f>
        <v>31.565826000000001</v>
      </c>
      <c r="Y131" s="123">
        <f>'Parameters | Agora'!$B$4*0.000451612382155608</f>
        <v>26.846549669622274</v>
      </c>
      <c r="Z131" s="123">
        <f>'Parameters | Agora'!$B$4*0.000405006357165349</f>
        <v>24.076007908051338</v>
      </c>
      <c r="AA131" s="123">
        <f>'Parameters | Agora'!$B$4*0.000493091744396938</f>
        <v>29.312331837420381</v>
      </c>
      <c r="AB131" s="123">
        <f>'Parameters | Agora'!$B$4*0.00000091</f>
        <v>5.4095859999999996E-2</v>
      </c>
      <c r="AC131" s="123">
        <f>'Parameters | Agora'!$B$4*0.0000603800210006631</f>
        <v>3.5893507284054182</v>
      </c>
      <c r="AD131" s="123">
        <f>'Parameters | Agora'!$B$4*1.89107927342241E-06</f>
        <v>0.11241709848786859</v>
      </c>
      <c r="AE131" s="123">
        <f>'Parameters | Agora'!$B$4*1.89107927342241E-06</f>
        <v>0.11241709848786859</v>
      </c>
      <c r="AF131" s="123">
        <f>'Parameters | Agora'!$B$4*0.000281365323992451</f>
        <v>16.726043050055242</v>
      </c>
      <c r="AG131" s="123">
        <f>'Parameters | Agora'!$B$4*7.45599676884611E-07</f>
        <v>4.4322918392082584E-2</v>
      </c>
      <c r="AH131" s="123">
        <f>'Parameters | Agora'!$B$4*5.79217670876512E-06</f>
        <v>0.34432173662925131</v>
      </c>
      <c r="AI131" s="123">
        <f>'Parameters | Agora'!$B$4*4.1963227420291E-08</f>
        <v>2.4945460172266188E-3</v>
      </c>
      <c r="AJ131" s="123">
        <f>'Parameters | Agora'!$B$4*6.44165476718259E-09</f>
        <v>3.8293060928993623E-4</v>
      </c>
    </row>
    <row r="132" spans="1:36">
      <c r="A132" s="120" t="s">
        <v>570</v>
      </c>
      <c r="B132" s="120" t="s">
        <v>571</v>
      </c>
      <c r="C132" s="120" t="s">
        <v>114</v>
      </c>
      <c r="D132" s="120" t="s">
        <v>325</v>
      </c>
      <c r="E132" s="120" t="s">
        <v>316</v>
      </c>
      <c r="F132" s="121">
        <v>2023</v>
      </c>
      <c r="G132" s="123">
        <f>'Parameters | Agora'!$B$4*0.0000810710139226422</f>
        <v>4.8193474936453882</v>
      </c>
      <c r="H132" s="123">
        <f>'Parameters | Agora'!$B$4*2.59532051350803E-06</f>
        <v>0.15428142324599836</v>
      </c>
      <c r="I132" s="123">
        <f>'Parameters | Agora'!$B$4*5.88865916017582E-07</f>
        <v>3.5005723243581179E-2</v>
      </c>
      <c r="J132" s="123">
        <f>'Parameters | Agora'!$B$4*8.62473484142803E-08</f>
        <v>5.1270598738353068E-3</v>
      </c>
      <c r="K132" s="123">
        <f>'Parameters | Agora'!$B$4*1.41751933800354E-07</f>
        <v>8.4265854566958447E-3</v>
      </c>
      <c r="L132" s="123">
        <f>'Parameters | Agora'!$B$4*7.28231373129231E-06</f>
        <v>0.43290442207040264</v>
      </c>
      <c r="M132" s="123">
        <f>'Parameters | Agora'!$B$4*0.000118419993571678</f>
        <v>7.0395949378619704</v>
      </c>
      <c r="N132" s="123">
        <f>'Parameters | Agora'!$B$4*0</f>
        <v>0</v>
      </c>
      <c r="O132" s="123">
        <f>'Parameters | Agora'!$B$4*0.0000770395922690765</f>
        <v>4.5796956020275212</v>
      </c>
      <c r="P132" s="123">
        <f>'Parameters | Agora'!$B$4*0.000158285465922997</f>
        <v>9.4094378072584792</v>
      </c>
      <c r="Q132" s="123">
        <f>'Parameters | Agora'!$B$4*0.00000332</f>
        <v>0.19736071999999999</v>
      </c>
      <c r="R132" s="123">
        <f>'Parameters | Agora'!$B$4*0.000000228</f>
        <v>1.3553688E-2</v>
      </c>
      <c r="S132" s="123">
        <f>'Parameters | Agora'!$B$4*0.000000010795</f>
        <v>6.4171957000000001E-4</v>
      </c>
      <c r="T132" s="123">
        <f>'Parameters | Agora'!$B$4*1.84737598955911E-06</f>
        <v>0.10981911307533086</v>
      </c>
      <c r="U132" s="123">
        <f>'Parameters | Agora'!$B$4*7.67768412564612E-06</f>
        <v>0.45640761053315926</v>
      </c>
      <c r="V132" s="123">
        <f>'Parameters | Agora'!$B$4*7.67768412564612E-06</f>
        <v>0.45640761053315926</v>
      </c>
      <c r="W132" s="123">
        <f>'Parameters | Agora'!$B$4*3.88785344054027E-06</f>
        <v>0.23111733562635689</v>
      </c>
      <c r="X132" s="123">
        <f>'Parameters | Agora'!$B$4*0.000531</f>
        <v>31.565826000000001</v>
      </c>
      <c r="Y132" s="123">
        <f>'Parameters | Agora'!$B$4*0.00108403187601804</f>
        <v>64.44135890176841</v>
      </c>
      <c r="Z132" s="123">
        <f>'Parameters | Agora'!$B$4*0.000957038386756237</f>
        <v>56.892103939111266</v>
      </c>
      <c r="AA132" s="123">
        <f>'Parameters | Agora'!$B$4*0.00116853324719985</f>
        <v>69.46462741304228</v>
      </c>
      <c r="AB132" s="123">
        <f>'Parameters | Agora'!$B$4*0.00000091</f>
        <v>5.4095859999999996E-2</v>
      </c>
      <c r="AC132" s="123">
        <f>'Parameters | Agora'!$B$4*0.0000716515313803001</f>
        <v>4.2593969344333198</v>
      </c>
      <c r="AD132" s="123">
        <f>'Parameters | Agora'!$B$4*1.41076795720488E-06</f>
        <v>8.3864511984001286E-2</v>
      </c>
      <c r="AE132" s="123">
        <f>'Parameters | Agora'!$B$4*1.41076795720488E-06</f>
        <v>8.3864511984001286E-2</v>
      </c>
      <c r="AF132" s="123">
        <f>'Parameters | Agora'!$B$4*0.000281365323992451</f>
        <v>16.726043050055242</v>
      </c>
      <c r="AG132" s="123">
        <f>'Parameters | Agora'!$B$4*1.03066666392094E-06</f>
        <v>6.1269010503444195E-2</v>
      </c>
      <c r="AH132" s="123">
        <f>'Parameters | Agora'!$B$4*0.0000063741261444877</f>
        <v>0.37891630278521582</v>
      </c>
      <c r="AI132" s="123">
        <f>'Parameters | Agora'!$B$4*2.6291562324481E-07</f>
        <v>1.5629282139410977E-2</v>
      </c>
      <c r="AJ132" s="123">
        <f>'Parameters | Agora'!$B$4*9.97569399266707E-09</f>
        <v>5.9301510508808668E-4</v>
      </c>
    </row>
    <row r="133" spans="1:36">
      <c r="A133" s="120" t="s">
        <v>572</v>
      </c>
      <c r="B133" s="120" t="s">
        <v>573</v>
      </c>
      <c r="C133" s="120" t="s">
        <v>115</v>
      </c>
      <c r="D133" s="120" t="s">
        <v>121</v>
      </c>
      <c r="E133" s="120" t="s">
        <v>316</v>
      </c>
      <c r="F133" s="121">
        <v>2023</v>
      </c>
      <c r="G133" s="123">
        <f>'Parameters | Agora'!$B$4*0.0000310891930379053</f>
        <v>1.8481281693313185</v>
      </c>
      <c r="H133" s="123">
        <f>'Parameters | Agora'!$B$4*2.59532051350803E-06</f>
        <v>0.15428142324599836</v>
      </c>
      <c r="I133" s="123">
        <f>'Parameters | Agora'!$B$4*7.52000147999595E-07</f>
        <v>4.4703400797983926E-2</v>
      </c>
      <c r="J133" s="123">
        <f>'Parameters | Agora'!$B$4*4.88936917779182E-08</f>
        <v>2.9065344014301254E-3</v>
      </c>
      <c r="K133" s="123">
        <f>'Parameters | Agora'!$B$4*1.81021642274695E-07</f>
        <v>1.0761012546661518E-2</v>
      </c>
      <c r="L133" s="123">
        <f>'Parameters | Agora'!$B$4*7.28231373129231E-06</f>
        <v>0.43290442207040264</v>
      </c>
      <c r="M133" s="123">
        <f>'Parameters | Agora'!$B$4*0.0000116308136569097</f>
        <v>0.69140534864865399</v>
      </c>
      <c r="N133" s="123">
        <f>'Parameters | Agora'!$B$4*9.09263932637521E-07</f>
        <v>5.4052103739570076E-2</v>
      </c>
      <c r="O133" s="123">
        <f>'Parameters | Agora'!$B$4*0</f>
        <v>0</v>
      </c>
      <c r="P133" s="123">
        <f>'Parameters | Agora'!$B$4*0</f>
        <v>0</v>
      </c>
      <c r="Q133" s="123">
        <f>'Parameters | Agora'!$B$4*0.00000332</f>
        <v>0.19736071999999999</v>
      </c>
      <c r="R133" s="123">
        <f>'Parameters | Agora'!$B$4*0.000000228</f>
        <v>1.3553688E-2</v>
      </c>
      <c r="S133" s="123">
        <f>'Parameters | Agora'!$B$4*0.000000010795</f>
        <v>6.4171957000000001E-4</v>
      </c>
      <c r="T133" s="123">
        <f>'Parameters | Agora'!$B$4*1.25492536075133E-06</f>
        <v>7.4600292995223569E-2</v>
      </c>
      <c r="U133" s="123">
        <f>'Parameters | Agora'!$B$4*1.19619151287581E-06</f>
        <v>7.1108800674415398E-2</v>
      </c>
      <c r="V133" s="123">
        <f>'Parameters | Agora'!$B$4*1.19619151287581E-06</f>
        <v>7.1108800674415398E-2</v>
      </c>
      <c r="W133" s="123">
        <f>'Parameters | Agora'!$B$4*3.88785344054027E-06</f>
        <v>0.23111733562635689</v>
      </c>
      <c r="X133" s="123">
        <f>'Parameters | Agora'!$B$4*0.000531</f>
        <v>31.565826000000001</v>
      </c>
      <c r="Y133" s="123">
        <f>'Parameters | Agora'!$B$4*0.00124862310326685</f>
        <v>74.225648996801169</v>
      </c>
      <c r="Z133" s="123">
        <f>'Parameters | Agora'!$B$4*0.00115114695022371</f>
        <v>68.431081602998674</v>
      </c>
      <c r="AA133" s="123">
        <f>'Parameters | Agora'!$B$4*0.00131957513303294</f>
        <v>78.443463358276148</v>
      </c>
      <c r="AB133" s="123">
        <f>'Parameters | Agora'!$B$4*0.00000091</f>
        <v>5.4095859999999996E-2</v>
      </c>
      <c r="AC133" s="123">
        <f>'Parameters | Agora'!$B$4*0.0000274770005056214</f>
        <v>1.6333977720571697</v>
      </c>
      <c r="AD133" s="123">
        <f>'Parameters | Agora'!$B$4*8.04618393629008E-07</f>
        <v>4.7831345027670009E-2</v>
      </c>
      <c r="AE133" s="123">
        <f>'Parameters | Agora'!$B$4*8.04618393629008E-07</f>
        <v>4.7831345027670009E-2</v>
      </c>
      <c r="AF133" s="123">
        <f>'Parameters | Agora'!$B$4*0.000281365323992451</f>
        <v>16.726043050055242</v>
      </c>
      <c r="AG133" s="123">
        <f>'Parameters | Agora'!$B$4*1.09982722320768E-06</f>
        <v>6.5380329110803742E-2</v>
      </c>
      <c r="AH133" s="123">
        <f>'Parameters | Agora'!$B$4*8.3703374832983E-08</f>
        <v>4.9758308203215074E-3</v>
      </c>
      <c r="AI133" s="123">
        <f>'Parameters | Agora'!$B$4*9.77388859934727E-09</f>
        <v>5.8101858167679775E-4</v>
      </c>
      <c r="AJ133" s="123">
        <f>'Parameters | Agora'!$B$4*2.88702623579913E-09</f>
        <v>1.7162216161331509E-4</v>
      </c>
    </row>
    <row r="134" spans="1:36">
      <c r="A134" s="120" t="s">
        <v>574</v>
      </c>
      <c r="B134" s="120" t="s">
        <v>575</v>
      </c>
      <c r="C134" s="120" t="s">
        <v>115</v>
      </c>
      <c r="D134" s="120" t="s">
        <v>121</v>
      </c>
      <c r="E134" s="120" t="s">
        <v>316</v>
      </c>
      <c r="F134" s="121">
        <v>2023</v>
      </c>
      <c r="G134" s="123">
        <f>'Parameters | Agora'!$B$4*0.0000106620431223718</f>
        <v>0.63381581545251398</v>
      </c>
      <c r="H134" s="123">
        <f>'Parameters | Agora'!$B$4*2.59532051350803E-06</f>
        <v>0.15428142324599836</v>
      </c>
      <c r="I134" s="123">
        <f>'Parameters | Agora'!$B$4*1.87775335393885E-06</f>
        <v>0.11162492587824888</v>
      </c>
      <c r="J134" s="123">
        <f>'Parameters | Agora'!$B$4*4.88936917779182E-08</f>
        <v>2.9065344014301254E-3</v>
      </c>
      <c r="K134" s="123">
        <f>'Parameters | Agora'!$B$4*4.52013203482787E-07</f>
        <v>2.6870376894237755E-2</v>
      </c>
      <c r="L134" s="123">
        <f>'Parameters | Agora'!$B$4*7.28231373129231E-06</f>
        <v>0.43290442207040264</v>
      </c>
      <c r="M134" s="123">
        <f>'Parameters | Agora'!$B$4*0.0000599715106619247</f>
        <v>3.5650664228087758</v>
      </c>
      <c r="N134" s="123">
        <f>'Parameters | Agora'!$B$4*0.000157013814813939</f>
        <v>9.3338432354294181</v>
      </c>
      <c r="O134" s="123">
        <f>'Parameters | Agora'!$B$4*0</f>
        <v>0</v>
      </c>
      <c r="P134" s="123">
        <f>'Parameters | Agora'!$B$4*0</f>
        <v>0</v>
      </c>
      <c r="Q134" s="123">
        <f>'Parameters | Agora'!$B$4*0.00000332</f>
        <v>0.19736071999999999</v>
      </c>
      <c r="R134" s="123">
        <f>'Parameters | Agora'!$B$4*0.000000228</f>
        <v>1.3553688E-2</v>
      </c>
      <c r="S134" s="123">
        <f>'Parameters | Agora'!$B$4*0.000000010795</f>
        <v>6.4171957000000001E-4</v>
      </c>
      <c r="T134" s="123">
        <f>'Parameters | Agora'!$B$4*3.57419259857924E-06</f>
        <v>0.21247145321514152</v>
      </c>
      <c r="U134" s="123">
        <f>'Parameters | Agora'!$B$4*4.10734906249981E-06</f>
        <v>0.24416547236936373</v>
      </c>
      <c r="V134" s="123">
        <f>'Parameters | Agora'!$B$4*4.10734906249981E-06</f>
        <v>0.24416547236936373</v>
      </c>
      <c r="W134" s="123">
        <f>'Parameters | Agora'!$B$4*3.88785344054027E-06</f>
        <v>0.23111733562635689</v>
      </c>
      <c r="X134" s="123">
        <f>'Parameters | Agora'!$B$4*0.000531</f>
        <v>31.565826000000001</v>
      </c>
      <c r="Y134" s="123">
        <f>'Parameters | Agora'!$B$4*0.000377262551915627</f>
        <v>22.426749661176363</v>
      </c>
      <c r="Z134" s="123">
        <f>'Parameters | Agora'!$B$4*0.000338199944360331</f>
        <v>20.104633892444237</v>
      </c>
      <c r="AA134" s="123">
        <f>'Parameters | Agora'!$B$4*0.000392168020588043</f>
        <v>23.312820151876807</v>
      </c>
      <c r="AB134" s="123">
        <f>'Parameters | Agora'!$B$4*0.00000091</f>
        <v>5.4095859999999996E-2</v>
      </c>
      <c r="AC134" s="123">
        <f>'Parameters | Agora'!$B$4*9.42324118568068E-06</f>
        <v>0.56017399552397362</v>
      </c>
      <c r="AD134" s="123">
        <f>'Parameters | Agora'!$B$4*9.01359893620917E-06</f>
        <v>0.53582240236189027</v>
      </c>
      <c r="AE134" s="123">
        <f>'Parameters | Agora'!$B$4*9.01359893620917E-06</f>
        <v>0.53582240236189027</v>
      </c>
      <c r="AF134" s="123">
        <f>'Parameters | Agora'!$B$4*0.000281365323992451</f>
        <v>16.726043050055242</v>
      </c>
      <c r="AG134" s="123">
        <f>'Parameters | Agora'!$B$4*2.29123201259636E-06</f>
        <v>0.13620457822080323</v>
      </c>
      <c r="AH134" s="123">
        <f>'Parameters | Agora'!$B$4*0.0000014577619722542</f>
        <v>8.6658118202623174E-2</v>
      </c>
      <c r="AI134" s="123">
        <f>'Parameters | Agora'!$B$4*3.50676724256644E-07</f>
        <v>2.084632855016046E-2</v>
      </c>
      <c r="AJ134" s="123">
        <f>'Parameters | Agora'!$B$4*7.67835339260172E-09</f>
        <v>4.5644739577660183E-4</v>
      </c>
    </row>
    <row r="135" spans="1:36">
      <c r="A135" s="120" t="s">
        <v>576</v>
      </c>
      <c r="B135" s="120" t="s">
        <v>577</v>
      </c>
      <c r="C135" s="120" t="s">
        <v>116</v>
      </c>
      <c r="D135" s="120" t="s">
        <v>121</v>
      </c>
      <c r="E135" s="120" t="s">
        <v>316</v>
      </c>
      <c r="F135" s="121">
        <v>2023</v>
      </c>
      <c r="G135" s="123">
        <f>'Parameters | Agora'!$B$4*0.0000213528667922074</f>
        <v>1.2693425193295611</v>
      </c>
      <c r="H135" s="123">
        <f>'Parameters | Agora'!$B$4*2.59532051350803E-06</f>
        <v>0.15428142324599836</v>
      </c>
      <c r="I135" s="123">
        <f>'Parameters | Agora'!$B$4*0</f>
        <v>0</v>
      </c>
      <c r="J135" s="123">
        <f>'Parameters | Agora'!$B$4*8.63343994036925E-08</f>
        <v>5.1322347069519044E-3</v>
      </c>
      <c r="K135" s="123">
        <f>'Parameters | Agora'!$B$4*0</f>
        <v>0</v>
      </c>
      <c r="L135" s="123">
        <f>'Parameters | Agora'!$B$4*7.28231373129231E-06</f>
        <v>0.43290442207040264</v>
      </c>
      <c r="M135" s="123">
        <f>'Parameters | Agora'!$B$4*0</f>
        <v>0</v>
      </c>
      <c r="N135" s="123">
        <f>'Parameters | Agora'!$B$4*0</f>
        <v>0</v>
      </c>
      <c r="O135" s="123">
        <f>'Parameters | Agora'!$B$4*0.000158887062755249</f>
        <v>9.4452003325485325</v>
      </c>
      <c r="P135" s="123">
        <f>'Parameters | Agora'!$B$4*0.000110409065948861</f>
        <v>6.5633773343959909</v>
      </c>
      <c r="Q135" s="123">
        <f>'Parameters | Agora'!$B$4*0.00000332</f>
        <v>0.19736071999999999</v>
      </c>
      <c r="R135" s="123">
        <f>'Parameters | Agora'!$B$4*0.000000228</f>
        <v>1.3553688E-2</v>
      </c>
      <c r="S135" s="123">
        <f>'Parameters | Agora'!$B$4*0.000000010795</f>
        <v>6.4171957000000001E-4</v>
      </c>
      <c r="T135" s="123">
        <f>'Parameters | Agora'!$B$4*0</f>
        <v>0</v>
      </c>
      <c r="U135" s="123">
        <f>'Parameters | Agora'!$B$4*0</f>
        <v>0</v>
      </c>
      <c r="V135" s="123">
        <f>'Parameters | Agora'!$B$4*0</f>
        <v>0</v>
      </c>
      <c r="W135" s="123">
        <f>'Parameters | Agora'!$B$4*3.88785344054027E-06</f>
        <v>0.23111733562635689</v>
      </c>
      <c r="X135" s="123">
        <f>'Parameters | Agora'!$B$4*0.000531</f>
        <v>31.565826000000001</v>
      </c>
      <c r="Y135" s="123">
        <f>'Parameters | Agora'!$B$4*0.000388442503366956</f>
        <v>23.091353055152066</v>
      </c>
      <c r="Z135" s="123">
        <f>'Parameters | Agora'!$B$4*0.000375583714438594</f>
        <v>22.326949488516657</v>
      </c>
      <c r="AA135" s="123">
        <f>'Parameters | Agora'!$B$4*0.000393849714895063</f>
        <v>23.412790151651915</v>
      </c>
      <c r="AB135" s="123">
        <f>'Parameters | Agora'!$B$4*0.00000091</f>
        <v>5.4095859999999996E-2</v>
      </c>
      <c r="AC135" s="123">
        <f>'Parameters | Agora'!$B$4*0.0000188719189633067</f>
        <v>1.12186009469273</v>
      </c>
      <c r="AD135" s="123">
        <f>'Parameters | Agora'!$B$4*0</f>
        <v>0</v>
      </c>
      <c r="AE135" s="123">
        <f>'Parameters | Agora'!$B$4*0</f>
        <v>0</v>
      </c>
      <c r="AF135" s="123">
        <f>'Parameters | Agora'!$B$4*0.000281365323992451</f>
        <v>16.726043050055242</v>
      </c>
      <c r="AG135" s="123">
        <f>'Parameters | Agora'!$B$4*0</f>
        <v>0</v>
      </c>
      <c r="AH135" s="123">
        <f>'Parameters | Agora'!$B$4*0</f>
        <v>0</v>
      </c>
      <c r="AI135" s="123">
        <f>'Parameters | Agora'!$B$4*0</f>
        <v>0</v>
      </c>
      <c r="AJ135" s="123">
        <f>'Parameters | Agora'!$B$4*0</f>
        <v>0</v>
      </c>
    </row>
    <row r="136" spans="1:36">
      <c r="A136" s="120" t="s">
        <v>578</v>
      </c>
      <c r="B136" s="120" t="s">
        <v>579</v>
      </c>
      <c r="C136" s="120" t="s">
        <v>117</v>
      </c>
      <c r="D136" s="120" t="s">
        <v>121</v>
      </c>
      <c r="E136" s="120" t="s">
        <v>316</v>
      </c>
      <c r="F136" s="121">
        <v>2023</v>
      </c>
      <c r="G136" s="123">
        <f>'Parameters | Agora'!$B$4*0.0000184578229973907</f>
        <v>1.0972437459028874</v>
      </c>
      <c r="H136" s="123">
        <f>'Parameters | Agora'!$B$4*2.59532051350803E-06</f>
        <v>0.15428142324599836</v>
      </c>
      <c r="I136" s="123">
        <f>'Parameters | Agora'!$B$4*5.93921740104907E-08</f>
        <v>3.5306271762276299E-3</v>
      </c>
      <c r="J136" s="123">
        <f>'Parameters | Agora'!$B$4*1.25062212908419E-07</f>
        <v>7.4344483085538758E-3</v>
      </c>
      <c r="K136" s="123">
        <f>'Parameters | Agora'!$B$4*1.42968972895059E-08</f>
        <v>8.4989335627196766E-4</v>
      </c>
      <c r="L136" s="123">
        <f>'Parameters | Agora'!$B$4*7.28231373129231E-06</f>
        <v>0.43290442207040264</v>
      </c>
      <c r="M136" s="123">
        <f>'Parameters | Agora'!$B$4*0</f>
        <v>0</v>
      </c>
      <c r="N136" s="123">
        <f>'Parameters | Agora'!$B$4*0</f>
        <v>0</v>
      </c>
      <c r="O136" s="123">
        <f>'Parameters | Agora'!$B$4*0.0000210576591947023</f>
        <v>1.251793608488273</v>
      </c>
      <c r="P136" s="123">
        <f>'Parameters | Agora'!$B$4*0.0000090825338639024</f>
        <v>0.53992030807354208</v>
      </c>
      <c r="Q136" s="123">
        <f>'Parameters | Agora'!$B$4*0.00000332</f>
        <v>0.19736071999999999</v>
      </c>
      <c r="R136" s="123">
        <f>'Parameters | Agora'!$B$4*0.000000228</f>
        <v>1.3553688E-2</v>
      </c>
      <c r="S136" s="123">
        <f>'Parameters | Agora'!$B$4*0.000000010795</f>
        <v>6.4171957000000001E-4</v>
      </c>
      <c r="T136" s="123">
        <f>'Parameters | Agora'!$B$4*1.4533847664526E-10</f>
        <v>8.6397910826541257E-6</v>
      </c>
      <c r="U136" s="123">
        <f>'Parameters | Agora'!$B$4*5.07256950720561E-10</f>
        <v>3.0154396692534469E-5</v>
      </c>
      <c r="V136" s="123">
        <f>'Parameters | Agora'!$B$4*5.07256950720561E-10</f>
        <v>3.0154396692534469E-5</v>
      </c>
      <c r="W136" s="123">
        <f>'Parameters | Agora'!$B$4*3.88785344054027E-06</f>
        <v>0.23111733562635689</v>
      </c>
      <c r="X136" s="123">
        <f>'Parameters | Agora'!$B$4*0.000531</f>
        <v>31.565826000000001</v>
      </c>
      <c r="Y136" s="123">
        <f>'Parameters | Agora'!$B$4*0.000353019804650901</f>
        <v>20.985615307277463</v>
      </c>
      <c r="Z136" s="123">
        <f>'Parameters | Agora'!$B$4*0.000317861328171441</f>
        <v>18.895584514479481</v>
      </c>
      <c r="AA136" s="123">
        <f>'Parameters | Agora'!$B$4*0.000358520790766734</f>
        <v>21.312626927919272</v>
      </c>
      <c r="AB136" s="123">
        <f>'Parameters | Agora'!$B$4*0.00000091</f>
        <v>5.4095859999999996E-2</v>
      </c>
      <c r="AC136" s="123">
        <f>'Parameters | Agora'!$B$4*0.000016313244644646</f>
        <v>0.96975714114562617</v>
      </c>
      <c r="AD136" s="123">
        <f>'Parameters | Agora'!$B$4*1.72538355918986E-07</f>
        <v>1.0256715105960042E-2</v>
      </c>
      <c r="AE136" s="123">
        <f>'Parameters | Agora'!$B$4*1.72538355918986E-07</f>
        <v>1.0256715105960042E-2</v>
      </c>
      <c r="AF136" s="123">
        <f>'Parameters | Agora'!$B$4*0.000281365323992451</f>
        <v>16.726043050055242</v>
      </c>
      <c r="AG136" s="123">
        <f>'Parameters | Agora'!$B$4*0</f>
        <v>0</v>
      </c>
      <c r="AH136" s="123">
        <f>-'Parameters | Agora'!$B$4*2.21694134111497E-10</f>
        <v>-1.317882949639205E-5</v>
      </c>
      <c r="AI136" s="123">
        <f>'Parameters | Agora'!$B$4*7.08381061375561E-10</f>
        <v>4.2110420574531597E-5</v>
      </c>
      <c r="AJ136" s="123">
        <f>'Parameters | Agora'!$B$4*2.05700234564973E-11</f>
        <v>1.2228056143949384E-6</v>
      </c>
    </row>
    <row r="137" spans="1:36">
      <c r="A137" s="120" t="s">
        <v>580</v>
      </c>
      <c r="B137" s="120" t="s">
        <v>581</v>
      </c>
      <c r="C137" s="120" t="s">
        <v>115</v>
      </c>
      <c r="D137" s="120" t="s">
        <v>121</v>
      </c>
      <c r="E137" s="120" t="s">
        <v>316</v>
      </c>
      <c r="F137" s="121">
        <v>2023</v>
      </c>
      <c r="G137" s="123">
        <f>'Parameters | Agora'!$B$4*0.0000308311121726032</f>
        <v>1.8327862942125699</v>
      </c>
      <c r="H137" s="123">
        <f>'Parameters | Agora'!$B$4*2.59532051350803E-06</f>
        <v>0.15428142324599836</v>
      </c>
      <c r="I137" s="123">
        <f>'Parameters | Agora'!$B$4*4.62071648991753E-07</f>
        <v>2.7468311245963748E-2</v>
      </c>
      <c r="J137" s="123">
        <f>'Parameters | Agora'!$B$4*4.88936917779182E-08</f>
        <v>2.9065344014301254E-3</v>
      </c>
      <c r="K137" s="123">
        <f>'Parameters | Agora'!$B$4*1.11229989743444E-07</f>
        <v>6.6121779702887724E-3</v>
      </c>
      <c r="L137" s="123">
        <f>'Parameters | Agora'!$B$4*7.28231373129231E-06</f>
        <v>0.43290442207040264</v>
      </c>
      <c r="M137" s="123">
        <f>'Parameters | Agora'!$B$4*0.000019664600138765</f>
        <v>1.1689818198490243</v>
      </c>
      <c r="N137" s="123">
        <f>'Parameters | Agora'!$B$4*0.0000204592426386812</f>
        <v>1.2162201378990425</v>
      </c>
      <c r="O137" s="123">
        <f>'Parameters | Agora'!$B$4*0.0000108741088649698</f>
        <v>0.64642227558699472</v>
      </c>
      <c r="P137" s="123">
        <f>'Parameters | Agora'!$B$4*7.64852042911416E-06</f>
        <v>0.45467394542912032</v>
      </c>
      <c r="Q137" s="123">
        <f>'Parameters | Agora'!$B$4*0.00000332</f>
        <v>0.19736071999999999</v>
      </c>
      <c r="R137" s="123">
        <f>'Parameters | Agora'!$B$4*0.000000228</f>
        <v>1.3553688E-2</v>
      </c>
      <c r="S137" s="123">
        <f>'Parameters | Agora'!$B$4*0.000000010795</f>
        <v>6.4171957000000001E-4</v>
      </c>
      <c r="T137" s="123">
        <f>'Parameters | Agora'!$B$4*7.01590989651945E-07</f>
        <v>4.1706777970849519E-2</v>
      </c>
      <c r="U137" s="123">
        <f>'Parameters | Agora'!$B$4*6.09084341679622E-07</f>
        <v>3.6207627775486813E-2</v>
      </c>
      <c r="V137" s="123">
        <f>'Parameters | Agora'!$B$4*6.09084341679622E-07</f>
        <v>3.6207627775486813E-2</v>
      </c>
      <c r="W137" s="123">
        <f>'Parameters | Agora'!$B$4*3.88785344054027E-06</f>
        <v>0.23111733562635689</v>
      </c>
      <c r="X137" s="123">
        <f>'Parameters | Agora'!$B$4*0.000531</f>
        <v>31.565826000000001</v>
      </c>
      <c r="Y137" s="123">
        <f>'Parameters | Agora'!$B$4*0.0014724023087874</f>
        <v>87.528427648175779</v>
      </c>
      <c r="Z137" s="123">
        <f>'Parameters | Agora'!$B$4*0.00135394588244135</f>
        <v>80.486666927608496</v>
      </c>
      <c r="AA137" s="123">
        <f>'Parameters | Agora'!$B$4*0.00156207493060077</f>
        <v>92.859106324493368</v>
      </c>
      <c r="AB137" s="123">
        <f>'Parameters | Agora'!$B$4*0.00000091</f>
        <v>5.4095859999999996E-2</v>
      </c>
      <c r="AC137" s="123">
        <f>'Parameters | Agora'!$B$4*0.0000272489055512831</f>
        <v>1.619838439401575</v>
      </c>
      <c r="AD137" s="123">
        <f>'Parameters | Agora'!$B$4*5.28080011765218E-07</f>
        <v>3.1392244379395154E-2</v>
      </c>
      <c r="AE137" s="123">
        <f>'Parameters | Agora'!$B$4*5.28080011765218E-07</f>
        <v>3.1392244379395154E-2</v>
      </c>
      <c r="AF137" s="123">
        <f>'Parameters | Agora'!$B$4*0.000281365323992451</f>
        <v>16.726043050055242</v>
      </c>
      <c r="AG137" s="123">
        <f>'Parameters | Agora'!$B$4*5.90196416822564E-07</f>
        <v>3.508481619443414E-2</v>
      </c>
      <c r="AH137" s="123">
        <f>'Parameters | Agora'!$B$4*5.71601481606744E-09</f>
        <v>3.3979421675594504E-4</v>
      </c>
      <c r="AI137" s="123">
        <f>'Parameters | Agora'!$B$4*1.11629238027788E-08</f>
        <v>6.635911683799885E-4</v>
      </c>
      <c r="AJ137" s="123">
        <f>'Parameters | Agora'!$B$4*2.00898623821111E-09</f>
        <v>1.1942619591669765E-4</v>
      </c>
    </row>
    <row r="138" spans="1:36">
      <c r="A138" s="120" t="s">
        <v>582</v>
      </c>
      <c r="B138" s="120" t="s">
        <v>583</v>
      </c>
      <c r="C138" s="120" t="s">
        <v>115</v>
      </c>
      <c r="D138" s="120" t="s">
        <v>322</v>
      </c>
      <c r="E138" s="120" t="s">
        <v>316</v>
      </c>
      <c r="F138" s="121">
        <v>2023</v>
      </c>
      <c r="G138" s="123">
        <f>'Parameters | Agora'!$B$4*0.0000428201901756421</f>
        <v>2.5454890251812201</v>
      </c>
      <c r="H138" s="123">
        <f>'Parameters | Agora'!$B$4*2.59532051350803E-06</f>
        <v>0.15428142324599836</v>
      </c>
      <c r="I138" s="123">
        <f>'Parameters | Agora'!$B$4*3.75488244063655E-07</f>
        <v>2.2321274156608038E-2</v>
      </c>
      <c r="J138" s="123">
        <f>'Parameters | Agora'!$B$4*4.88936917779182E-08</f>
        <v>2.9065344014301254E-3</v>
      </c>
      <c r="K138" s="123">
        <f>'Parameters | Agora'!$B$4*9.03876133216941E-08</f>
        <v>5.3731820615214275E-3</v>
      </c>
      <c r="L138" s="123">
        <f>'Parameters | Agora'!$B$4*7.28231373129231E-06</f>
        <v>0.43290442207040264</v>
      </c>
      <c r="M138" s="123">
        <f>'Parameters | Agora'!$B$4*0.0000070316791697255</f>
        <v>0.41800519992350205</v>
      </c>
      <c r="N138" s="123">
        <f>'Parameters | Agora'!$B$4*2.04450936231457E-06</f>
        <v>0.12153790355215194</v>
      </c>
      <c r="O138" s="123">
        <f>'Parameters | Agora'!$B$4*9.26911132320154E-06</f>
        <v>0.55101159171903868</v>
      </c>
      <c r="P138" s="123">
        <f>'Parameters | Agora'!$B$4*2.67139848378468E-06</f>
        <v>0.15880395426706409</v>
      </c>
      <c r="Q138" s="123">
        <f>'Parameters | Agora'!$B$4*0.00000332</f>
        <v>0.19736071999999999</v>
      </c>
      <c r="R138" s="123">
        <f>'Parameters | Agora'!$B$4*0.000000228</f>
        <v>1.3553688E-2</v>
      </c>
      <c r="S138" s="123">
        <f>'Parameters | Agora'!$B$4*0.000000010795</f>
        <v>6.4171957000000001E-4</v>
      </c>
      <c r="T138" s="123">
        <f>'Parameters | Agora'!$B$4*2.22143349908598E-07</f>
        <v>1.3205533578666518E-2</v>
      </c>
      <c r="U138" s="123">
        <f>'Parameters | Agora'!$B$4*1.41396540057526E-07</f>
        <v>8.4054587202596915E-3</v>
      </c>
      <c r="V138" s="123">
        <f>'Parameters | Agora'!$B$4*1.41396540057526E-07</f>
        <v>8.4054587202596915E-3</v>
      </c>
      <c r="W138" s="123">
        <f>'Parameters | Agora'!$B$4*3.88785344054027E-06</f>
        <v>0.23111733562635689</v>
      </c>
      <c r="X138" s="123">
        <f>'Parameters | Agora'!$B$4*0.000531</f>
        <v>31.565826000000001</v>
      </c>
      <c r="Y138" s="123">
        <f>'Parameters | Agora'!$B$4*0.00112294999871727</f>
        <v>66.75488562374683</v>
      </c>
      <c r="Z138" s="123">
        <f>'Parameters | Agora'!$B$4*0.000978787498881941</f>
        <v>58.185001658535867</v>
      </c>
      <c r="AA138" s="123">
        <f>'Parameters | Agora'!$B$4*0.00124687916524237</f>
        <v>74.121978856997927</v>
      </c>
      <c r="AB138" s="123">
        <f>'Parameters | Agora'!$B$4*0.00000091</f>
        <v>5.4095859999999996E-2</v>
      </c>
      <c r="AC138" s="123">
        <f>'Parameters | Agora'!$B$4*0.0000378449960303696</f>
        <v>2.249733634021351</v>
      </c>
      <c r="AD138" s="123">
        <f>'Parameters | Agora'!$B$4*8.44590544584831E-07</f>
        <v>5.0207529513389859E-2</v>
      </c>
      <c r="AE138" s="123">
        <f>'Parameters | Agora'!$B$4*8.44590544584831E-07</f>
        <v>5.0207529513389859E-2</v>
      </c>
      <c r="AF138" s="123">
        <f>'Parameters | Agora'!$B$4*0.000281365323992451</f>
        <v>16.726043050055242</v>
      </c>
      <c r="AG138" s="123">
        <f>'Parameters | Agora'!$B$4*1.39159644607669E-07</f>
        <v>8.2724842333474907E-3</v>
      </c>
      <c r="AH138" s="123">
        <f>'Parameters | Agora'!$B$4*1.3807552615441E-11</f>
        <v>8.2080377277750569E-7</v>
      </c>
      <c r="AI138" s="123">
        <f>'Parameters | Agora'!$B$4*1.36300083812908E-09</f>
        <v>8.1024947823421287E-5</v>
      </c>
      <c r="AJ138" s="123">
        <f>'Parameters | Agora'!$B$4*8.60087059112572E-10</f>
        <v>5.1128735316005956E-5</v>
      </c>
    </row>
    <row r="139" spans="1:36">
      <c r="A139" s="120" t="s">
        <v>584</v>
      </c>
      <c r="B139" s="120" t="s">
        <v>585</v>
      </c>
      <c r="C139" s="120" t="s">
        <v>119</v>
      </c>
      <c r="D139" s="120" t="s">
        <v>319</v>
      </c>
      <c r="E139" s="120" t="s">
        <v>316</v>
      </c>
      <c r="F139" s="121">
        <v>2023</v>
      </c>
      <c r="G139" s="123">
        <f>'Parameters | Agora'!$B$4*0.000229986994017154</f>
        <v>13.671806846343737</v>
      </c>
      <c r="H139" s="123">
        <f>'Parameters | Agora'!$B$4*2.59532051350803E-06</f>
        <v>0.15428142324599836</v>
      </c>
      <c r="I139" s="123">
        <f>'Parameters | Agora'!$B$4*1.67052927243848E-06</f>
        <v>9.9306283129377879E-2</v>
      </c>
      <c r="J139" s="123">
        <f>'Parameters | Agora'!$B$4*2.24299408328451E-07</f>
        <v>1.3333702627493097E-2</v>
      </c>
      <c r="K139" s="123">
        <f>'Parameters | Agora'!$B$4*4.02130176661785E-07</f>
        <v>2.3905030481836471E-2</v>
      </c>
      <c r="L139" s="123">
        <f>'Parameters | Agora'!$B$4*7.28231373129231E-06</f>
        <v>0.43290442207040264</v>
      </c>
      <c r="M139" s="123">
        <f>'Parameters | Agora'!$B$4*0.00048036395746542</f>
        <v>28.555715815489361</v>
      </c>
      <c r="N139" s="123">
        <f>'Parameters | Agora'!$B$4*0.000600678876228736</f>
        <v>35.707956476293447</v>
      </c>
      <c r="O139" s="123">
        <f>'Parameters | Agora'!$B$4*0.000235746688324043</f>
        <v>14.01419763411106</v>
      </c>
      <c r="P139" s="123">
        <f>'Parameters | Agora'!$B$4*0.000473530558855591</f>
        <v>28.149497601729461</v>
      </c>
      <c r="Q139" s="123">
        <f>'Parameters | Agora'!$B$4*0.00000332</f>
        <v>0.19736071999999999</v>
      </c>
      <c r="R139" s="123">
        <f>'Parameters | Agora'!$B$4*0.000000228</f>
        <v>1.3553688E-2</v>
      </c>
      <c r="S139" s="123">
        <f>'Parameters | Agora'!$B$4*0.000000010795</f>
        <v>6.4171957000000001E-4</v>
      </c>
      <c r="T139" s="123">
        <f>'Parameters | Agora'!$B$4*2.52413996094126E-07</f>
        <v>1.5005002411811415E-2</v>
      </c>
      <c r="U139" s="123">
        <f>'Parameters | Agora'!$B$4*5.07263818296481E-06</f>
        <v>0.30154804942452607</v>
      </c>
      <c r="V139" s="123">
        <f>'Parameters | Agora'!$B$4*5.07263818296481E-06</f>
        <v>0.30154804942452607</v>
      </c>
      <c r="W139" s="123">
        <f>'Parameters | Agora'!$B$4*3.88785344054027E-06</f>
        <v>0.23111733562635689</v>
      </c>
      <c r="X139" s="123">
        <f>'Parameters | Agora'!$B$4*0.000531</f>
        <v>31.565826000000001</v>
      </c>
      <c r="Y139" s="123">
        <f>'Parameters | Agora'!$B$4*0.00070482341796745</f>
        <v>41.89893290449303</v>
      </c>
      <c r="Z139" s="123">
        <f>'Parameters | Agora'!$B$4*0.000701265700209903</f>
        <v>41.687440814677899</v>
      </c>
      <c r="AA139" s="123">
        <f>'Parameters | Agora'!$B$4*0.000706009323886633</f>
        <v>41.969430267764785</v>
      </c>
      <c r="AB139" s="123">
        <f>'Parameters | Agora'!$B$4*0.00000091</f>
        <v>5.4095859999999996E-2</v>
      </c>
      <c r="AC139" s="123">
        <f>'Parameters | Agora'!$B$4*0.000203265255009703</f>
        <v>12.083306349306804</v>
      </c>
      <c r="AD139" s="123">
        <f>'Parameters | Agora'!$B$4*2.35644250747629E-07</f>
        <v>1.4008108129943552E-2</v>
      </c>
      <c r="AE139" s="123">
        <f>'Parameters | Agora'!$B$4*2.35644250747629E-07</f>
        <v>1.4008108129943552E-2</v>
      </c>
      <c r="AF139" s="123">
        <f>'Parameters | Agora'!$B$4*0.000281365323992451</f>
        <v>16.726043050055242</v>
      </c>
      <c r="AG139" s="123">
        <f>'Parameters | Agora'!$B$4*0</f>
        <v>0</v>
      </c>
      <c r="AH139" s="123">
        <f>'Parameters | Agora'!$B$4*5.06063948462751E-06</f>
        <v>0.30083477480316695</v>
      </c>
      <c r="AI139" s="123">
        <f>-'Parameters | Agora'!$B$4*2.27432687794104E-09</f>
        <v>-1.3519963558608308E-4</v>
      </c>
      <c r="AJ139" s="123">
        <f>'Parameters | Agora'!$B$4*1.42730252152409E-08</f>
        <v>8.4847425694521055E-4</v>
      </c>
    </row>
    <row r="140" spans="1:36">
      <c r="A140" s="120" t="s">
        <v>586</v>
      </c>
      <c r="B140" s="120" t="s">
        <v>587</v>
      </c>
      <c r="C140" s="120" t="s">
        <v>114</v>
      </c>
      <c r="D140" s="120" t="s">
        <v>325</v>
      </c>
      <c r="E140" s="120" t="s">
        <v>316</v>
      </c>
      <c r="F140" s="121">
        <v>2023</v>
      </c>
      <c r="G140" s="123">
        <f>'Parameters | Agora'!$B$4*0.0000542611902356584</f>
        <v>3.225610714748949</v>
      </c>
      <c r="H140" s="123">
        <f>'Parameters | Agora'!$B$4*2.59532051350803E-06</f>
        <v>0.15428142324599836</v>
      </c>
      <c r="I140" s="123">
        <f>'Parameters | Agora'!$B$4*3.94130576963233E-07</f>
        <v>2.3429486278156351E-2</v>
      </c>
      <c r="J140" s="123">
        <f>'Parameters | Agora'!$B$4*8.62473484142803E-08</f>
        <v>5.1270598738353068E-3</v>
      </c>
      <c r="K140" s="123">
        <f>'Parameters | Agora'!$B$4*9.48751998285455E-08</f>
        <v>5.6399511290077158E-3</v>
      </c>
      <c r="L140" s="123">
        <f>'Parameters | Agora'!$B$4*7.28231373129231E-06</f>
        <v>0.43290442207040264</v>
      </c>
      <c r="M140" s="123">
        <f>'Parameters | Agora'!$B$4*0.0000523000177487094</f>
        <v>3.1090268550897791</v>
      </c>
      <c r="N140" s="123">
        <f>'Parameters | Agora'!$B$4*0.0000480110041466473</f>
        <v>2.8540621525015952</v>
      </c>
      <c r="O140" s="123">
        <f>'Parameters | Agora'!$B$4*0.0000745796739201724</f>
        <v>4.4334632958585685</v>
      </c>
      <c r="P140" s="123">
        <f>'Parameters | Agora'!$B$4*0.000209833552468264</f>
        <v>12.473765360028422</v>
      </c>
      <c r="Q140" s="123">
        <f>'Parameters | Agora'!$B$4*0.00000332</f>
        <v>0.19736071999999999</v>
      </c>
      <c r="R140" s="123">
        <f>'Parameters | Agora'!$B$4*0.000000228</f>
        <v>1.3553688E-2</v>
      </c>
      <c r="S140" s="123">
        <f>'Parameters | Agora'!$B$4*0.000000010795</f>
        <v>6.4171957000000001E-4</v>
      </c>
      <c r="T140" s="123">
        <f>'Parameters | Agora'!$B$4*9.18573301845707E-07</f>
        <v>5.4605508501519899E-2</v>
      </c>
      <c r="U140" s="123">
        <f>'Parameters | Agora'!$B$4*4.17155543941921E-06</f>
        <v>0.24798228465171435</v>
      </c>
      <c r="V140" s="123">
        <f>'Parameters | Agora'!$B$4*4.17155543941921E-06</f>
        <v>0.24798228465171435</v>
      </c>
      <c r="W140" s="123">
        <f>'Parameters | Agora'!$B$4*3.88785344054027E-06</f>
        <v>0.23111733562635689</v>
      </c>
      <c r="X140" s="123">
        <f>'Parameters | Agora'!$B$4*0.000531</f>
        <v>31.565826000000001</v>
      </c>
      <c r="Y140" s="123">
        <f>'Parameters | Agora'!$B$4*0.000487206248540942</f>
        <v>28.962462650764838</v>
      </c>
      <c r="Z140" s="123">
        <f>'Parameters | Agora'!$B$4*0.000472176749871299</f>
        <v>28.06901907284924</v>
      </c>
      <c r="AA140" s="123">
        <f>'Parameters | Agora'!$B$4*0.000505366892766761</f>
        <v>30.042040307412872</v>
      </c>
      <c r="AB140" s="123">
        <f>'Parameters | Agora'!$B$4*0.00000091</f>
        <v>5.4095859999999996E-2</v>
      </c>
      <c r="AC140" s="123">
        <f>'Parameters | Agora'!$B$4*0.0000479566886706577</f>
        <v>2.8508333147159175</v>
      </c>
      <c r="AD140" s="123">
        <f>'Parameters | Agora'!$B$4*7.62997508630108E-07</f>
        <v>4.5357149898025403E-2</v>
      </c>
      <c r="AE140" s="123">
        <f>'Parameters | Agora'!$B$4*7.62997508630108E-07</f>
        <v>4.5357149898025403E-2</v>
      </c>
      <c r="AF140" s="123">
        <f>'Parameters | Agora'!$B$4*0.000281365323992451</f>
        <v>16.726043050055242</v>
      </c>
      <c r="AG140" s="123">
        <f>'Parameters | Agora'!$B$4*5.80256045702805E-07</f>
        <v>3.4493900892848949E-2</v>
      </c>
      <c r="AH140" s="123">
        <f>'Parameters | Agora'!$B$4*0.0000034909844375877</f>
        <v>0.20752506087683842</v>
      </c>
      <c r="AI140" s="123">
        <f>'Parameters | Agora'!$B$4*9.45638809520662E-08</f>
        <v>5.6214444670765274E-3</v>
      </c>
      <c r="AJ140" s="123">
        <f>'Parameters | Agora'!$B$4*5.75107517664051E-09</f>
        <v>3.4187841495057178E-4</v>
      </c>
    </row>
    <row r="141" spans="1:36">
      <c r="A141" s="120" t="s">
        <v>588</v>
      </c>
      <c r="B141" s="120" t="s">
        <v>589</v>
      </c>
      <c r="C141" s="120" t="s">
        <v>119</v>
      </c>
      <c r="D141" s="120" t="s">
        <v>325</v>
      </c>
      <c r="E141" s="120" t="s">
        <v>316</v>
      </c>
      <c r="F141" s="121">
        <v>2023</v>
      </c>
      <c r="G141" s="123">
        <f>'Parameters | Agora'!$B$4*0.0000770851887162394</f>
        <v>4.5824061284255668</v>
      </c>
      <c r="H141" s="123">
        <f>'Parameters | Agora'!$B$4*2.59532051350803E-06</f>
        <v>0.15428142324599836</v>
      </c>
      <c r="I141" s="123">
        <f>'Parameters | Agora'!$B$4*5.5991454983023E-07</f>
        <v>3.3284680329207852E-2</v>
      </c>
      <c r="J141" s="123">
        <f>'Parameters | Agora'!$B$4*2.24299408328451E-07</f>
        <v>1.3333702627493097E-2</v>
      </c>
      <c r="K141" s="123">
        <f>'Parameters | Agora'!$B$4*1.3478275451592E-07</f>
        <v>8.0122956249533799E-3</v>
      </c>
      <c r="L141" s="123">
        <f>'Parameters | Agora'!$B$4*7.28231373129231E-06</f>
        <v>0.43290442207040264</v>
      </c>
      <c r="M141" s="123">
        <f>'Parameters | Agora'!$B$4*0.000207717643326919</f>
        <v>12.347983025212027</v>
      </c>
      <c r="N141" s="123">
        <f>'Parameters | Agora'!$B$4*0.000160628118764422</f>
        <v>9.5486991480698293</v>
      </c>
      <c r="O141" s="123">
        <f>'Parameters | Agora'!$B$4*0.00172638351099185</f>
        <v>102.62659419442151</v>
      </c>
      <c r="P141" s="123">
        <f>'Parameters | Agora'!$B$4*0.000980726482636909</f>
        <v>58.300266486833699</v>
      </c>
      <c r="Q141" s="123">
        <f>'Parameters | Agora'!$B$4*0.00000332</f>
        <v>0.19736071999999999</v>
      </c>
      <c r="R141" s="123">
        <f>'Parameters | Agora'!$B$4*0.000000228</f>
        <v>1.3553688E-2</v>
      </c>
      <c r="S141" s="123">
        <f>'Parameters | Agora'!$B$4*0.000000010795</f>
        <v>6.4171957000000001E-4</v>
      </c>
      <c r="T141" s="123">
        <f>'Parameters | Agora'!$B$4*1.57452197504162E-06</f>
        <v>9.3599033328324144E-2</v>
      </c>
      <c r="U141" s="123">
        <f>'Parameters | Agora'!$B$4*0.000010190169228363</f>
        <v>0.60576479994926691</v>
      </c>
      <c r="V141" s="123">
        <f>'Parameters | Agora'!$B$4*0.000010190169228363</f>
        <v>0.60576479994926691</v>
      </c>
      <c r="W141" s="123">
        <f>'Parameters | Agora'!$B$4*3.88785344054027E-06</f>
        <v>0.23111733562635689</v>
      </c>
      <c r="X141" s="123">
        <f>'Parameters | Agora'!$B$4*0.000531</f>
        <v>31.565826000000001</v>
      </c>
      <c r="Y141" s="123">
        <f>'Parameters | Agora'!$B$4*0.000892684439413508</f>
        <v>53.066519185375398</v>
      </c>
      <c r="Z141" s="123">
        <f>'Parameters | Agora'!$B$4*0.000839255622595278</f>
        <v>49.890389740798895</v>
      </c>
      <c r="AA141" s="123">
        <f>'Parameters | Agora'!$B$4*0.000958544713610238</f>
        <v>56.98164904527421</v>
      </c>
      <c r="AB141" s="123">
        <f>'Parameters | Agora'!$B$4*0.00000091</f>
        <v>5.4095859999999996E-2</v>
      </c>
      <c r="AC141" s="123">
        <f>'Parameters | Agora'!$B$4*0.0000681288114088258</f>
        <v>4.0499853230090581</v>
      </c>
      <c r="AD141" s="123">
        <f>'Parameters | Agora'!$B$4*6.08350993129831E-07</f>
        <v>3.6164033137595933E-2</v>
      </c>
      <c r="AE141" s="123">
        <f>'Parameters | Agora'!$B$4*6.08350993129831E-07</f>
        <v>3.6164033137595933E-2</v>
      </c>
      <c r="AF141" s="123">
        <f>'Parameters | Agora'!$B$4*0.000281365323992451</f>
        <v>16.726043050055242</v>
      </c>
      <c r="AG141" s="123">
        <f>'Parameters | Agora'!$B$4*1.15746381537626E-06</f>
        <v>6.8806593968857147E-2</v>
      </c>
      <c r="AH141" s="123">
        <f>'Parameters | Agora'!$B$4*8.91449831480443E-06</f>
        <v>0.5299312668218642</v>
      </c>
      <c r="AI141" s="123">
        <f>'Parameters | Agora'!$B$4*1.04659532195085E-07</f>
        <v>6.2215905508690231E-3</v>
      </c>
      <c r="AJ141" s="123">
        <f>'Parameters | Agora'!$B$4*1.35475659871941E-08</f>
        <v>8.053486076747405E-4</v>
      </c>
    </row>
    <row r="142" spans="1:36">
      <c r="A142" s="120" t="s">
        <v>590</v>
      </c>
      <c r="B142" s="120" t="s">
        <v>591</v>
      </c>
      <c r="C142" s="120" t="s">
        <v>117</v>
      </c>
      <c r="D142" s="120" t="s">
        <v>121</v>
      </c>
      <c r="E142" s="120" t="s">
        <v>316</v>
      </c>
      <c r="F142" s="121">
        <v>2023</v>
      </c>
      <c r="G142" s="123">
        <f>'Parameters | Agora'!$B$4*0.0000364200862231568</f>
        <v>2.1650284456217794</v>
      </c>
      <c r="H142" s="123">
        <f>'Parameters | Agora'!$B$4*2.59532051350803E-06</f>
        <v>0.15428142324599836</v>
      </c>
      <c r="I142" s="123">
        <f>'Parameters | Agora'!$B$4*1.78403812991969E-07</f>
        <v>1.060539306712059E-2</v>
      </c>
      <c r="J142" s="123">
        <f>'Parameters | Agora'!$B$4*1.25062212908419E-07</f>
        <v>7.4344483085538758E-3</v>
      </c>
      <c r="K142" s="123">
        <f>'Parameters | Agora'!$B$4*4.29454053988977E-08</f>
        <v>2.5529325693428727E-3</v>
      </c>
      <c r="L142" s="123">
        <f>'Parameters | Agora'!$B$4*7.28231373129231E-06</f>
        <v>0.43290442207040264</v>
      </c>
      <c r="M142" s="123">
        <f>'Parameters | Agora'!$B$4*0</f>
        <v>0</v>
      </c>
      <c r="N142" s="123">
        <f>'Parameters | Agora'!$B$4*0</f>
        <v>0</v>
      </c>
      <c r="O142" s="123">
        <f>'Parameters | Agora'!$B$4*0</f>
        <v>0</v>
      </c>
      <c r="P142" s="123">
        <f>'Parameters | Agora'!$B$4*7.80308089668524E-09</f>
        <v>4.6386194698435084E-4</v>
      </c>
      <c r="Q142" s="123">
        <f>'Parameters | Agora'!$B$4*0.00000332</f>
        <v>0.19736071999999999</v>
      </c>
      <c r="R142" s="123">
        <f>'Parameters | Agora'!$B$4*0.000000228</f>
        <v>1.3553688E-2</v>
      </c>
      <c r="S142" s="123">
        <f>'Parameters | Agora'!$B$4*0.000000010795</f>
        <v>6.4171957000000001E-4</v>
      </c>
      <c r="T142" s="123">
        <f>'Parameters | Agora'!$B$4*2.49537378405187E-08</f>
        <v>1.4833998996674747E-3</v>
      </c>
      <c r="U142" s="123">
        <f>'Parameters | Agora'!$B$4*3.4375362139069E-09</f>
        <v>2.0434777777190958E-4</v>
      </c>
      <c r="V142" s="123">
        <f>'Parameters | Agora'!$B$4*3.4375362139069E-09</f>
        <v>2.0434777777190958E-4</v>
      </c>
      <c r="W142" s="123">
        <f>'Parameters | Agora'!$B$4*3.88785344054027E-06</f>
        <v>0.23111733562635689</v>
      </c>
      <c r="X142" s="123">
        <f>'Parameters | Agora'!$B$4*0.000531</f>
        <v>31.565826000000001</v>
      </c>
      <c r="Y142" s="123">
        <f>'Parameters | Agora'!$B$4*0.00124294754370655</f>
        <v>73.888259683179569</v>
      </c>
      <c r="Z142" s="123">
        <f>'Parameters | Agora'!$B$4*0.00122250718871907</f>
        <v>72.673162340593834</v>
      </c>
      <c r="AA142" s="123">
        <f>'Parameters | Agora'!$B$4*0.00132057740254196</f>
        <v>78.503044271509353</v>
      </c>
      <c r="AB142" s="123">
        <f>'Parameters | Agora'!$B$4*0.00000091</f>
        <v>5.4095859999999996E-2</v>
      </c>
      <c r="AC142" s="123">
        <f>'Parameters | Agora'!$B$4*0.0000321885076382761</f>
        <v>1.913478025064961</v>
      </c>
      <c r="AD142" s="123">
        <f>'Parameters | Agora'!$B$4*3.61187012520095E-07</f>
        <v>2.1471123146269568E-2</v>
      </c>
      <c r="AE142" s="123">
        <f>'Parameters | Agora'!$B$4*3.61187012520095E-07</f>
        <v>2.1471123146269568E-2</v>
      </c>
      <c r="AF142" s="123">
        <f>'Parameters | Agora'!$B$4*0.000281365323992451</f>
        <v>16.726043050055242</v>
      </c>
      <c r="AG142" s="123">
        <f>'Parameters | Agora'!$B$4*0</f>
        <v>0</v>
      </c>
      <c r="AH142" s="123">
        <f>'Parameters | Agora'!$B$4*3.00536803358393E-09</f>
        <v>1.7865710812443032E-4</v>
      </c>
      <c r="AI142" s="123">
        <f>'Parameters | Agora'!$B$4*3.85718799390851E-10</f>
        <v>2.2929439748588526E-5</v>
      </c>
      <c r="AJ142" s="123">
        <f>'Parameters | Agora'!$B$4*4.64493809321133E-11</f>
        <v>2.7612298988904076E-6</v>
      </c>
    </row>
    <row r="143" spans="1:36">
      <c r="A143" s="120" t="s">
        <v>592</v>
      </c>
      <c r="B143" s="120" t="s">
        <v>593</v>
      </c>
      <c r="C143" s="120" t="s">
        <v>119</v>
      </c>
      <c r="D143" s="120" t="s">
        <v>325</v>
      </c>
      <c r="E143" s="120" t="s">
        <v>316</v>
      </c>
      <c r="F143" s="121">
        <v>2023</v>
      </c>
      <c r="G143" s="123">
        <f>'Parameters | Agora'!$B$4*0.000151260871854391</f>
        <v>8.9918537882561278</v>
      </c>
      <c r="H143" s="123">
        <f>'Parameters | Agora'!$B$4*2.59532051350803E-06</f>
        <v>0.15428142324599836</v>
      </c>
      <c r="I143" s="123">
        <f>'Parameters | Agora'!$B$4*1.09869566880151E-06</f>
        <v>6.5313062727574561E-2</v>
      </c>
      <c r="J143" s="123">
        <f>'Parameters | Agora'!$B$4*2.24299408328451E-07</f>
        <v>1.3333702627493097E-2</v>
      </c>
      <c r="K143" s="123">
        <f>'Parameters | Agora'!$B$4*2.64478264872165E-07</f>
        <v>1.5722174933590721E-2</v>
      </c>
      <c r="L143" s="123">
        <f>'Parameters | Agora'!$B$4*7.28231373129231E-06</f>
        <v>0.43290442207040264</v>
      </c>
      <c r="M143" s="123">
        <f>'Parameters | Agora'!$B$4*0.0000437548060152724</f>
        <v>2.6010481983838827</v>
      </c>
      <c r="N143" s="123">
        <f>'Parameters | Agora'!$B$4*9.01124056232092E-06</f>
        <v>0.53568220646772946</v>
      </c>
      <c r="O143" s="123">
        <f>'Parameters | Agora'!$B$4*0.0000867673814946398</f>
        <v>5.157973760330357</v>
      </c>
      <c r="P143" s="123">
        <f>'Parameters | Agora'!$B$4*0.0000499106997071575</f>
        <v>2.9669914547916845</v>
      </c>
      <c r="Q143" s="123">
        <f>'Parameters | Agora'!$B$4*0.00000332</f>
        <v>0.19736071999999999</v>
      </c>
      <c r="R143" s="123">
        <f>'Parameters | Agora'!$B$4*0.000000228</f>
        <v>1.3553688E-2</v>
      </c>
      <c r="S143" s="123">
        <f>'Parameters | Agora'!$B$4*0.000000010795</f>
        <v>6.4171957000000001E-4</v>
      </c>
      <c r="T143" s="123">
        <f>'Parameters | Agora'!$B$4*9.32030527770921E-07</f>
        <v>5.5405486753870171E-2</v>
      </c>
      <c r="U143" s="123">
        <f>'Parameters | Agora'!$B$4*7.36388211843669E-07</f>
        <v>4.3775333641258747E-2</v>
      </c>
      <c r="V143" s="123">
        <f>'Parameters | Agora'!$B$4*7.36388211843669E-07</f>
        <v>4.3775333641258747E-2</v>
      </c>
      <c r="W143" s="123">
        <f>'Parameters | Agora'!$B$4*3.88785344054027E-06</f>
        <v>0.23111733562635689</v>
      </c>
      <c r="X143" s="123">
        <f>'Parameters | Agora'!$B$4*0.000531</f>
        <v>31.565826000000001</v>
      </c>
      <c r="Y143" s="123">
        <f>'Parameters | Agora'!$B$4*0.000800091739158265</f>
        <v>47.562253526002223</v>
      </c>
      <c r="Z143" s="123">
        <f>'Parameters | Agora'!$B$4*0.000743974338976529</f>
        <v>44.226298554798745</v>
      </c>
      <c r="AA143" s="123">
        <f>'Parameters | Agora'!$B$4*0.000883220873009569</f>
        <v>52.503948016926842</v>
      </c>
      <c r="AB143" s="123">
        <f>'Parameters | Agora'!$B$4*0.00000091</f>
        <v>5.4095859999999996E-2</v>
      </c>
      <c r="AC143" s="123">
        <f>'Parameters | Agora'!$B$4*0.000133686167002033</f>
        <v>7.947107883602853</v>
      </c>
      <c r="AD143" s="123">
        <f>'Parameters | Agora'!$B$4*9.20508014424777E-07</f>
        <v>5.4720519425495294E-2</v>
      </c>
      <c r="AE143" s="123">
        <f>'Parameters | Agora'!$B$4*9.20508014424777E-07</f>
        <v>5.4720519425495294E-2</v>
      </c>
      <c r="AF143" s="123">
        <f>'Parameters | Agora'!$B$4*0.000281365323992451</f>
        <v>16.726043050055242</v>
      </c>
      <c r="AG143" s="123">
        <f>'Parameters | Agora'!$B$4*7.28511134037045E-07</f>
        <v>4.3307072873966179E-2</v>
      </c>
      <c r="AH143" s="123">
        <f>'Parameters | Agora'!$B$4*6.63763051673707E-14</f>
        <v>3.9458058369795191E-9</v>
      </c>
      <c r="AI143" s="123">
        <f>'Parameters | Agora'!$B$4*4.09513158982642E-09</f>
        <v>2.4343919248882135E-4</v>
      </c>
      <c r="AJ143" s="123">
        <f>'Parameters | Agora'!$B$4*3.78187984049186E-09</f>
        <v>2.248176289978791E-4</v>
      </c>
    </row>
    <row r="144" spans="1:36">
      <c r="A144" s="120" t="s">
        <v>594</v>
      </c>
      <c r="B144" s="120" t="s">
        <v>595</v>
      </c>
      <c r="C144" s="120" t="s">
        <v>115</v>
      </c>
      <c r="D144" s="120" t="s">
        <v>322</v>
      </c>
      <c r="E144" s="120" t="s">
        <v>316</v>
      </c>
      <c r="F144" s="121">
        <v>2023</v>
      </c>
      <c r="G144" s="123">
        <f>'Parameters | Agora'!$B$4*0.0000498495237202653</f>
        <v>2.9633547870748909</v>
      </c>
      <c r="H144" s="123">
        <f>'Parameters | Agora'!$B$4*2.59532051350803E-06</f>
        <v>0.15428142324599836</v>
      </c>
      <c r="I144" s="123">
        <f>'Parameters | Agora'!$B$4*2.92108416685418E-07</f>
        <v>1.7364676938281358E-2</v>
      </c>
      <c r="J144" s="123">
        <f>'Parameters | Agora'!$B$4*4.88936917779182E-08</f>
        <v>2.9065344014301254E-3</v>
      </c>
      <c r="K144" s="123">
        <f>'Parameters | Agora'!$B$4*7.03164027976809E-08</f>
        <v>4.1800288807109388E-3</v>
      </c>
      <c r="L144" s="123">
        <f>'Parameters | Agora'!$B$4*7.28231373129231E-06</f>
        <v>0.43290442207040264</v>
      </c>
      <c r="M144" s="123">
        <f>'Parameters | Agora'!$B$4*3.04369405607163E-06</f>
        <v>0.18093543685723412</v>
      </c>
      <c r="N144" s="123">
        <f>'Parameters | Agora'!$B$4*0.0000143539748100878</f>
        <v>0.85328638656047939</v>
      </c>
      <c r="O144" s="123">
        <f>'Parameters | Agora'!$B$4*0.0000261182840008608</f>
        <v>1.552627510715171</v>
      </c>
      <c r="P144" s="123">
        <f>'Parameters | Agora'!$B$4*0.0000231695214007409</f>
        <v>1.3773353691884436</v>
      </c>
      <c r="Q144" s="123">
        <f>'Parameters | Agora'!$B$4*0.00000332</f>
        <v>0.19736071999999999</v>
      </c>
      <c r="R144" s="123">
        <f>'Parameters | Agora'!$B$4*0.000000228</f>
        <v>1.3553688E-2</v>
      </c>
      <c r="S144" s="123">
        <f>'Parameters | Agora'!$B$4*0.000000010795</f>
        <v>6.4171957000000001E-4</v>
      </c>
      <c r="T144" s="123">
        <f>'Parameters | Agora'!$B$4*5.06437509807001E-07</f>
        <v>3.0105684207986986E-2</v>
      </c>
      <c r="U144" s="123">
        <f>'Parameters | Agora'!$B$4*4.84884402125995E-07</f>
        <v>2.8824438168781896E-2</v>
      </c>
      <c r="V144" s="123">
        <f>'Parameters | Agora'!$B$4*4.84884402125995E-07</f>
        <v>2.8824438168781896E-2</v>
      </c>
      <c r="W144" s="123">
        <f>'Parameters | Agora'!$B$4*3.88785344054027E-06</f>
        <v>0.23111733562635689</v>
      </c>
      <c r="X144" s="123">
        <f>'Parameters | Agora'!$B$4*0.000531</f>
        <v>31.565826000000001</v>
      </c>
      <c r="Y144" s="123">
        <f>'Parameters | Agora'!$B$4*0.0014724023087874</f>
        <v>87.528427648175779</v>
      </c>
      <c r="Z144" s="123">
        <f>'Parameters | Agora'!$B$4*0.00141347912531707</f>
        <v>84.025680083598544</v>
      </c>
      <c r="AA144" s="123">
        <f>'Parameters | Agora'!$B$4*0.00151236170907188</f>
        <v>89.903854157486975</v>
      </c>
      <c r="AB144" s="123">
        <f>'Parameters | Agora'!$B$4*0.00000091</f>
        <v>5.4095859999999996E-2</v>
      </c>
      <c r="AC144" s="123">
        <f>'Parameters | Agora'!$B$4*0.0000440576050589895</f>
        <v>2.6190483903366899</v>
      </c>
      <c r="AD144" s="123">
        <f>'Parameters | Agora'!$B$4*3.29160513470414E-07</f>
        <v>1.9567275883762232E-2</v>
      </c>
      <c r="AE144" s="123">
        <f>'Parameters | Agora'!$B$4*3.29160513470414E-07</f>
        <v>1.9567275883762232E-2</v>
      </c>
      <c r="AF144" s="123">
        <f>'Parameters | Agora'!$B$4*0.000281365323992451</f>
        <v>16.726043050055242</v>
      </c>
      <c r="AG144" s="123">
        <f>'Parameters | Agora'!$B$4*4.26827292797758E-07</f>
        <v>2.5373175247655522E-2</v>
      </c>
      <c r="AH144" s="123">
        <f>'Parameters | Agora'!$B$4*4.45758959326239E-08</f>
        <v>2.6498587096107601E-3</v>
      </c>
      <c r="AI144" s="123">
        <f>'Parameters | Agora'!$B$4*1.17746551790392E-08</f>
        <v>6.999561517731643E-4</v>
      </c>
      <c r="AJ144" s="123">
        <f>'Parameters | Agora'!$B$4*1.70655821657305E-09</f>
        <v>1.0144805974240153E-4</v>
      </c>
    </row>
    <row r="145" spans="1:36">
      <c r="A145" s="120" t="s">
        <v>596</v>
      </c>
      <c r="B145" s="120" t="s">
        <v>597</v>
      </c>
      <c r="C145" s="120" t="s">
        <v>119</v>
      </c>
      <c r="D145" s="120" t="s">
        <v>121</v>
      </c>
      <c r="E145" s="120" t="s">
        <v>316</v>
      </c>
      <c r="F145" s="121">
        <v>2023</v>
      </c>
      <c r="G145" s="123">
        <f>'Parameters | Agora'!$B$4*0.0000489281802735471</f>
        <v>2.9085846045412809</v>
      </c>
      <c r="H145" s="123">
        <f>'Parameters | Agora'!$B$4*2.59532051350803E-06</f>
        <v>0.15428142324599836</v>
      </c>
      <c r="I145" s="123">
        <f>'Parameters | Agora'!$B$4*3.0048527651463E-07</f>
        <v>1.7862647747688695E-2</v>
      </c>
      <c r="J145" s="123">
        <f>'Parameters | Agora'!$B$4*2.24299408328451E-07</f>
        <v>1.3333702627493097E-2</v>
      </c>
      <c r="K145" s="123">
        <f>'Parameters | Agora'!$B$4*7.23328823521366E-08</f>
        <v>4.2999005243051121E-3</v>
      </c>
      <c r="L145" s="123">
        <f>'Parameters | Agora'!$B$4*7.28231373129231E-06</f>
        <v>0.43290442207040264</v>
      </c>
      <c r="M145" s="123">
        <f>'Parameters | Agora'!$B$4*0.00010765244656305</f>
        <v>6.3995073383870702</v>
      </c>
      <c r="N145" s="123">
        <f>'Parameters | Agora'!$B$4*0.0000646496738113166</f>
        <v>3.8431645093875262</v>
      </c>
      <c r="O145" s="123">
        <f>'Parameters | Agora'!$B$4*0.000877920174462131</f>
        <v>52.188842691075834</v>
      </c>
      <c r="P145" s="123">
        <f>'Parameters | Agora'!$B$4*0.000549863036009827</f>
        <v>32.687158038640177</v>
      </c>
      <c r="Q145" s="123">
        <f>'Parameters | Agora'!$B$4*0.00000332</f>
        <v>0.19736071999999999</v>
      </c>
      <c r="R145" s="123">
        <f>'Parameters | Agora'!$B$4*0.000000228</f>
        <v>1.3553688E-2</v>
      </c>
      <c r="S145" s="123">
        <f>'Parameters | Agora'!$B$4*0.000000010795</f>
        <v>6.4171957000000001E-4</v>
      </c>
      <c r="T145" s="123">
        <f>'Parameters | Agora'!$B$4*3.89081659120988E-07</f>
        <v>2.3129348308106253E-2</v>
      </c>
      <c r="U145" s="123">
        <f>'Parameters | Agora'!$B$4*9.00157123686311E-07</f>
        <v>5.3510740374656439E-2</v>
      </c>
      <c r="V145" s="123">
        <f>'Parameters | Agora'!$B$4*9.00157123686311E-07</f>
        <v>5.3510740374656439E-2</v>
      </c>
      <c r="W145" s="123">
        <f>'Parameters | Agora'!$B$4*3.88785344054027E-06</f>
        <v>0.23111733562635689</v>
      </c>
      <c r="X145" s="123">
        <f>'Parameters | Agora'!$B$4*0.000531</f>
        <v>31.565826000000001</v>
      </c>
      <c r="Y145" s="123">
        <f>'Parameters | Agora'!$B$4*0.000863495847389088</f>
        <v>51.331374143891722</v>
      </c>
      <c r="Z145" s="123">
        <f>'Parameters | Agora'!$B$4*0.000829892825026069</f>
        <v>49.333808876499695</v>
      </c>
      <c r="AA145" s="123">
        <f>'Parameters | Agora'!$B$4*0.000887934409107648</f>
        <v>52.784148883813245</v>
      </c>
      <c r="AB145" s="123">
        <f>'Parameters | Agora'!$B$4*0.00000091</f>
        <v>5.4095859999999996E-2</v>
      </c>
      <c r="AC145" s="123">
        <f>'Parameters | Agora'!$B$4*0.0000432433107053065</f>
        <v>2.5706418481876501</v>
      </c>
      <c r="AD145" s="123">
        <f>'Parameters | Agora'!$B$4*3.5230415246333E-07</f>
        <v>2.0943072647335116E-2</v>
      </c>
      <c r="AE145" s="123">
        <f>'Parameters | Agora'!$B$4*3.5230415246333E-07</f>
        <v>2.0943072647335116E-2</v>
      </c>
      <c r="AF145" s="123">
        <f>'Parameters | Agora'!$B$4*0.000281365323992451</f>
        <v>16.726043050055242</v>
      </c>
      <c r="AG145" s="123">
        <f>'Parameters | Agora'!$B$4*3.13918221737015E-07</f>
        <v>1.8661182609378595E-2</v>
      </c>
      <c r="AH145" s="123">
        <f>'Parameters | Agora'!$B$4*5.75963507452332E-07</f>
        <v>3.4238726664011329E-2</v>
      </c>
      <c r="AI145" s="123">
        <f>'Parameters | Agora'!$B$4*8.06352204975096E-09</f>
        <v>4.7934413176949558E-4</v>
      </c>
      <c r="AJ145" s="123">
        <f>'Parameters | Agora'!$B$4*2.21187244721369E-09</f>
        <v>1.3148696949706503E-4</v>
      </c>
    </row>
    <row r="146" spans="1:36">
      <c r="A146" s="120" t="s">
        <v>598</v>
      </c>
      <c r="B146" s="120" t="s">
        <v>599</v>
      </c>
      <c r="C146" s="120" t="s">
        <v>119</v>
      </c>
      <c r="D146" s="120" t="s">
        <v>319</v>
      </c>
      <c r="E146" s="120" t="s">
        <v>316</v>
      </c>
      <c r="F146" s="121">
        <v>2023</v>
      </c>
      <c r="G146" s="123">
        <f>'Parameters | Agora'!$B$4*0.000246040265937307</f>
        <v>14.626109648909152</v>
      </c>
      <c r="H146" s="123">
        <f>'Parameters | Agora'!$B$4*2.59532051350803E-06</f>
        <v>0.15428142324599836</v>
      </c>
      <c r="I146" s="123">
        <f>'Parameters | Agora'!$B$4*1.78713352119452E-06</f>
        <v>0.10623793930092944</v>
      </c>
      <c r="J146" s="123">
        <f>'Parameters | Agora'!$B$4*2.24299408328451E-07</f>
        <v>1.3333702627493097E-2</v>
      </c>
      <c r="K146" s="123">
        <f>'Parameters | Agora'!$B$4*4.30199177262614E-07</f>
        <v>2.5573620291553353E-2</v>
      </c>
      <c r="L146" s="123">
        <f>'Parameters | Agora'!$B$4*7.28231373129231E-06</f>
        <v>0.43290442207040264</v>
      </c>
      <c r="M146" s="123">
        <f>'Parameters | Agora'!$B$4*0.000735579677796225</f>
        <v>43.727269526274391</v>
      </c>
      <c r="N146" s="123">
        <f>'Parameters | Agora'!$B$4*0</f>
        <v>0</v>
      </c>
      <c r="O146" s="123">
        <f>'Parameters | Agora'!$B$4*0.000584244902332667</f>
        <v>34.731022464067721</v>
      </c>
      <c r="P146" s="123">
        <f>'Parameters | Agora'!$B$4*0.00126443082843377</f>
        <v>75.165355027073886</v>
      </c>
      <c r="Q146" s="123">
        <f>'Parameters | Agora'!$B$4*0.00000332</f>
        <v>0.19736071999999999</v>
      </c>
      <c r="R146" s="123">
        <f>'Parameters | Agora'!$B$4*0.000000228</f>
        <v>1.3553688E-2</v>
      </c>
      <c r="S146" s="123">
        <f>'Parameters | Agora'!$B$4*0.000000010795</f>
        <v>6.4171957000000001E-4</v>
      </c>
      <c r="T146" s="123">
        <f>'Parameters | Agora'!$B$4*5.30030681283604E-06</f>
        <v>0.31508203879585123</v>
      </c>
      <c r="U146" s="123">
        <f>'Parameters | Agora'!$B$4*0.0000135388686147877</f>
        <v>0.80483158367466956</v>
      </c>
      <c r="V146" s="123">
        <f>'Parameters | Agora'!$B$4*0.0000135388686147877</f>
        <v>0.80483158367466956</v>
      </c>
      <c r="W146" s="123">
        <f>'Parameters | Agora'!$B$4*3.88785344054027E-06</f>
        <v>0.23111733562635689</v>
      </c>
      <c r="X146" s="123">
        <f>'Parameters | Agora'!$B$4*0.000531</f>
        <v>31.565826000000001</v>
      </c>
      <c r="Y146" s="123">
        <f>'Parameters | Agora'!$B$4*0.00173996440234459</f>
        <v>103.43392386177649</v>
      </c>
      <c r="Z146" s="123">
        <f>'Parameters | Agora'!$B$4*0.0016172576281559</f>
        <v>96.13949696335564</v>
      </c>
      <c r="AA146" s="123">
        <f>'Parameters | Agora'!$B$4*0.00191210699922799</f>
        <v>113.6671126761071</v>
      </c>
      <c r="AB146" s="123">
        <f>'Parameters | Agora'!$B$4*0.00000091</f>
        <v>5.4095859999999996E-2</v>
      </c>
      <c r="AC146" s="123">
        <f>'Parameters | Agora'!$B$4*0.000217453328663757</f>
        <v>12.926730575745699</v>
      </c>
      <c r="AD146" s="123">
        <f>'Parameters | Agora'!$B$4*4.14061285349404E-06</f>
        <v>0.24614287168880672</v>
      </c>
      <c r="AE146" s="123">
        <f>'Parameters | Agora'!$B$4*4.14061285349404E-06</f>
        <v>0.24614287168880672</v>
      </c>
      <c r="AF146" s="123">
        <f>'Parameters | Agora'!$B$4*0.000281365323992451</f>
        <v>16.726043050055242</v>
      </c>
      <c r="AG146" s="123">
        <f>'Parameters | Agora'!$B$4*3.16377903299734E-06</f>
        <v>0.18807400839555988</v>
      </c>
      <c r="AH146" s="123">
        <f>'Parameters | Agora'!$B$4*9.75047165271946E-06</f>
        <v>0.57962653786756102</v>
      </c>
      <c r="AI146" s="123">
        <f>'Parameters | Agora'!$B$4*5.91513173683104E-07</f>
        <v>3.5163092122765804E-2</v>
      </c>
      <c r="AJ146" s="123">
        <f>'Parameters | Agora'!$B$4*3.31047553877581E-08</f>
        <v>1.9679452887806678E-3</v>
      </c>
    </row>
    <row r="147" spans="1:36">
      <c r="A147" s="120" t="s">
        <v>600</v>
      </c>
      <c r="B147" s="120" t="s">
        <v>601</v>
      </c>
      <c r="C147" s="120" t="s">
        <v>114</v>
      </c>
      <c r="D147" s="120" t="s">
        <v>121</v>
      </c>
      <c r="E147" s="120" t="s">
        <v>316</v>
      </c>
      <c r="F147" s="121">
        <v>2023</v>
      </c>
      <c r="G147" s="123">
        <f>'Parameters | Agora'!$B$4*2.48206103342783E-06</f>
        <v>0.14754860019315078</v>
      </c>
      <c r="H147" s="123">
        <f>'Parameters | Agora'!$B$4*2.59532051350803E-06</f>
        <v>0.15428142324599836</v>
      </c>
      <c r="I147" s="123">
        <f>'Parameters | Agora'!$B$4*3.11095370722697E-07</f>
        <v>1.8493375407981447E-2</v>
      </c>
      <c r="J147" s="123">
        <f>'Parameters | Agora'!$B$4*8.62473484142803E-08</f>
        <v>5.1270598738353068E-3</v>
      </c>
      <c r="K147" s="123">
        <f>'Parameters | Agora'!$B$4*7.48869465811701E-08</f>
        <v>4.4517294264642378E-3</v>
      </c>
      <c r="L147" s="123">
        <f>'Parameters | Agora'!$B$4*7.28231373129231E-06</f>
        <v>0.43290442207040264</v>
      </c>
      <c r="M147" s="123">
        <f>'Parameters | Agora'!$B$4*0.0000278024100824571</f>
        <v>1.6527420697617448</v>
      </c>
      <c r="N147" s="123">
        <f>'Parameters | Agora'!$B$4*0.0000165068021554134</f>
        <v>0.98126336093070499</v>
      </c>
      <c r="O147" s="123">
        <f>'Parameters | Agora'!$B$4*0.0000533974772738579</f>
        <v>3.1742664340217566</v>
      </c>
      <c r="P147" s="123">
        <f>'Parameters | Agora'!$B$4*0.0000555382981150653</f>
        <v>3.3015296697481715</v>
      </c>
      <c r="Q147" s="123">
        <f>'Parameters | Agora'!$B$4*0.00000332</f>
        <v>0.19736071999999999</v>
      </c>
      <c r="R147" s="123">
        <f>'Parameters | Agora'!$B$4*0.000000228</f>
        <v>1.3553688E-2</v>
      </c>
      <c r="S147" s="123">
        <f>'Parameters | Agora'!$B$4*0.000000010795</f>
        <v>6.4171957000000001E-4</v>
      </c>
      <c r="T147" s="123">
        <f>'Parameters | Agora'!$B$4*9.09448255953876E-07</f>
        <v>5.4063061023434118E-2</v>
      </c>
      <c r="U147" s="123">
        <f>'Parameters | Agora'!$B$4*1.23405556014376E-06</f>
        <v>7.3359666828305956E-2</v>
      </c>
      <c r="V147" s="123">
        <f>'Parameters | Agora'!$B$4*1.23405556014376E-06</f>
        <v>7.3359666828305956E-2</v>
      </c>
      <c r="W147" s="123">
        <f>'Parameters | Agora'!$B$4*3.88785344054027E-06</f>
        <v>0.23111733562635689</v>
      </c>
      <c r="X147" s="123">
        <f>'Parameters | Agora'!$B$4*0.000531</f>
        <v>31.565826000000001</v>
      </c>
      <c r="Y147" s="123">
        <f>'Parameters | Agora'!$B$4*0.000553853533663367</f>
        <v>32.92437716215251</v>
      </c>
      <c r="Z147" s="123">
        <f>'Parameters | Agora'!$B$4*0.000414663035705957</f>
        <v>24.650058820576319</v>
      </c>
      <c r="AA147" s="123">
        <f>'Parameters | Agora'!$B$4*0.000553853533663367</f>
        <v>32.92437716215251</v>
      </c>
      <c r="AB147" s="123">
        <f>'Parameters | Agora'!$B$4*0.00000091</f>
        <v>5.4095859999999996E-2</v>
      </c>
      <c r="AC147" s="123">
        <f>'Parameters | Agora'!$B$4*2.19367521657213E-06</f>
        <v>0.13040521692434684</v>
      </c>
      <c r="AD147" s="123">
        <f>'Parameters | Agora'!$B$4*8.22831741963809E-07</f>
        <v>4.8914055732780591E-2</v>
      </c>
      <c r="AE147" s="123">
        <f>'Parameters | Agora'!$B$4*8.22831741963809E-07</f>
        <v>4.8914055732780591E-2</v>
      </c>
      <c r="AF147" s="123">
        <f>'Parameters | Agora'!$B$4*0.000281365323992451</f>
        <v>16.726043050055242</v>
      </c>
      <c r="AG147" s="123">
        <f>'Parameters | Agora'!$B$4*6.43101049707971E-07</f>
        <v>3.8229785000940049E-2</v>
      </c>
      <c r="AH147" s="123">
        <f>'Parameters | Agora'!$B$4*4.96245517706789E-07</f>
        <v>2.949981104559778E-2</v>
      </c>
      <c r="AI147" s="123">
        <f>'Parameters | Agora'!$B$4*9.1160802393732E-08</f>
        <v>5.4191450590977928E-3</v>
      </c>
      <c r="AJ147" s="123">
        <f>'Parameters | Agora'!$B$4*3.54819033527119E-09</f>
        <v>2.1092572267053118E-4</v>
      </c>
    </row>
    <row r="148" spans="1:36">
      <c r="A148" s="120" t="s">
        <v>602</v>
      </c>
      <c r="B148" s="120" t="s">
        <v>603</v>
      </c>
      <c r="C148" s="120" t="s">
        <v>115</v>
      </c>
      <c r="D148" s="120" t="s">
        <v>121</v>
      </c>
      <c r="E148" s="120" t="s">
        <v>316</v>
      </c>
      <c r="F148" s="121">
        <v>2023</v>
      </c>
      <c r="G148" s="123">
        <f>'Parameters | Agora'!$B$4*0.0000164012279110461</f>
        <v>0.97498739440004634</v>
      </c>
      <c r="H148" s="123">
        <f>'Parameters | Agora'!$B$4*2.59532051350803E-06</f>
        <v>0.15428142324599836</v>
      </c>
      <c r="I148" s="123">
        <f>'Parameters | Agora'!$B$4*6.2360332788264E-07</f>
        <v>3.707072342931142E-2</v>
      </c>
      <c r="J148" s="123">
        <f>'Parameters | Agora'!$B$4*4.88936917779182E-08</f>
        <v>2.9065344014301254E-3</v>
      </c>
      <c r="K148" s="123">
        <f>'Parameters | Agora'!$B$4*1.50113931282553E-07</f>
        <v>8.9236727590226456E-3</v>
      </c>
      <c r="L148" s="123">
        <f>'Parameters | Agora'!$B$4*7.28231373129231E-06</f>
        <v>0.43290442207040264</v>
      </c>
      <c r="M148" s="123">
        <f>'Parameters | Agora'!$B$4*0.0000117109731657696</f>
        <v>0.69617051081233972</v>
      </c>
      <c r="N148" s="123">
        <f>'Parameters | Agora'!$B$4*0</f>
        <v>0</v>
      </c>
      <c r="O148" s="123">
        <f>'Parameters | Agora'!$B$4*5.21278258340954E-06</f>
        <v>0.30987907345336352</v>
      </c>
      <c r="P148" s="123">
        <f>'Parameters | Agora'!$B$4*3.82486904700285E-06</f>
        <v>0.2273731653681314</v>
      </c>
      <c r="Q148" s="123">
        <f>'Parameters | Agora'!$B$4*0.00000332</f>
        <v>0.19736071999999999</v>
      </c>
      <c r="R148" s="123">
        <f>'Parameters | Agora'!$B$4*0.000000228</f>
        <v>1.3553688E-2</v>
      </c>
      <c r="S148" s="123">
        <f>'Parameters | Agora'!$B$4*0.000000010795</f>
        <v>6.4171957000000001E-4</v>
      </c>
      <c r="T148" s="123">
        <f>'Parameters | Agora'!$B$4*1.02183070169382E-06</f>
        <v>6.0743747892890818E-2</v>
      </c>
      <c r="U148" s="123">
        <f>'Parameters | Agora'!$B$4*1.25165869145001E-06</f>
        <v>7.4406102571937291E-2</v>
      </c>
      <c r="V148" s="123">
        <f>'Parameters | Agora'!$B$4*1.25165869145001E-06</f>
        <v>7.4406102571937291E-2</v>
      </c>
      <c r="W148" s="123">
        <f>'Parameters | Agora'!$B$4*3.88785344054027E-06</f>
        <v>0.23111733562635689</v>
      </c>
      <c r="X148" s="123">
        <f>'Parameters | Agora'!$B$4*0.000531</f>
        <v>31.565826000000001</v>
      </c>
      <c r="Y148" s="123">
        <f>'Parameters | Agora'!$B$4*0.000852144728268481</f>
        <v>50.656595516648125</v>
      </c>
      <c r="Z148" s="123">
        <f>'Parameters | Agora'!$B$4*0.000831229911149242</f>
        <v>49.413293298177841</v>
      </c>
      <c r="AA148" s="123">
        <f>'Parameters | Agora'!$B$4*0.000872523268025688</f>
        <v>51.868018191055043</v>
      </c>
      <c r="AB148" s="123">
        <f>'Parameters | Agora'!$B$4*0.00000091</f>
        <v>5.4095859999999996E-2</v>
      </c>
      <c r="AC148" s="123">
        <f>'Parameters | Agora'!$B$4*0.0000144956013189267</f>
        <v>0.86170551600491663</v>
      </c>
      <c r="AD148" s="123">
        <f>'Parameters | Agora'!$B$4*5.12691996374368E-08</f>
        <v>3.0477488416470683E-3</v>
      </c>
      <c r="AE148" s="123">
        <f>'Parameters | Agora'!$B$4*5.12691996374368E-08</f>
        <v>3.0477488416470683E-3</v>
      </c>
      <c r="AF148" s="123">
        <f>'Parameters | Agora'!$B$4*0.000281365323992451</f>
        <v>16.726043050055242</v>
      </c>
      <c r="AG148" s="123">
        <f>'Parameters | Agora'!$B$4*9.02156104510766E-07</f>
        <v>5.3629571788746992E-2</v>
      </c>
      <c r="AH148" s="123">
        <f>'Parameters | Agora'!$B$4*3.44090457449445E-07</f>
        <v>2.0454801333539708E-2</v>
      </c>
      <c r="AI148" s="123">
        <f>'Parameters | Agora'!$B$4*2.74597034899365E-09</f>
        <v>1.632369533662765E-4</v>
      </c>
      <c r="AJ148" s="123">
        <f>'Parameters | Agora'!$B$4*2.6661591408007E-09</f>
        <v>1.5849249628403843E-4</v>
      </c>
    </row>
    <row r="149" spans="1:36">
      <c r="A149" s="120" t="s">
        <v>604</v>
      </c>
      <c r="B149" s="120" t="s">
        <v>605</v>
      </c>
      <c r="C149" s="120" t="s">
        <v>115</v>
      </c>
      <c r="D149" s="120" t="s">
        <v>121</v>
      </c>
      <c r="E149" s="120" t="s">
        <v>316</v>
      </c>
      <c r="F149" s="121">
        <v>2023</v>
      </c>
      <c r="G149" s="123">
        <f>'Parameters | Agora'!$B$4*0.000018012638141099</f>
        <v>1.0707792869357713</v>
      </c>
      <c r="H149" s="123">
        <f>'Parameters | Agora'!$B$4*2.59532051350803E-06</f>
        <v>0.15428142324599836</v>
      </c>
      <c r="I149" s="123">
        <f>'Parameters | Agora'!$B$4*0.0000016002779213216</f>
        <v>9.5130121310883831E-2</v>
      </c>
      <c r="J149" s="123">
        <f>'Parameters | Agora'!$B$4*4.88936917779182E-08</f>
        <v>2.9065344014301254E-3</v>
      </c>
      <c r="K149" s="123">
        <f>'Parameters | Agora'!$B$4*3.85219255852761E-07</f>
        <v>2.2899743883423231E-2</v>
      </c>
      <c r="L149" s="123">
        <f>'Parameters | Agora'!$B$4*7.28231373129231E-06</f>
        <v>0.43290442207040264</v>
      </c>
      <c r="M149" s="123">
        <f>'Parameters | Agora'!$B$4*0.000357955431710835</f>
        <v>21.279018593482299</v>
      </c>
      <c r="N149" s="123">
        <f>'Parameters | Agora'!$B$4*0.000449396505059277</f>
        <v>26.714824639753783</v>
      </c>
      <c r="O149" s="123">
        <f>'Parameters | Agora'!$B$4*9.29807214387853E-06</f>
        <v>0.55273319666500309</v>
      </c>
      <c r="P149" s="123">
        <f>'Parameters | Agora'!$B$4*4.24297398742954E-06</f>
        <v>0.25222783165673646</v>
      </c>
      <c r="Q149" s="123">
        <f>'Parameters | Agora'!$B$4*0.00000332</f>
        <v>0.19736071999999999</v>
      </c>
      <c r="R149" s="123">
        <f>'Parameters | Agora'!$B$4*0.000000228</f>
        <v>1.3553688E-2</v>
      </c>
      <c r="S149" s="123">
        <f>'Parameters | Agora'!$B$4*0.000000010795</f>
        <v>6.4171957000000001E-4</v>
      </c>
      <c r="T149" s="123">
        <f>'Parameters | Agora'!$B$4*2.59842095407429E-06</f>
        <v>0.15446573203590022</v>
      </c>
      <c r="U149" s="123">
        <f>'Parameters | Agora'!$B$4*3.56810192242837E-06</f>
        <v>0.2121093868806769</v>
      </c>
      <c r="V149" s="123">
        <f>'Parameters | Agora'!$B$4*3.56810192242837E-06</f>
        <v>0.2121093868806769</v>
      </c>
      <c r="W149" s="123">
        <f>'Parameters | Agora'!$B$4*3.88785344054027E-06</f>
        <v>0.23111733562635689</v>
      </c>
      <c r="X149" s="123">
        <f>'Parameters | Agora'!$B$4*0.000531</f>
        <v>31.565826000000001</v>
      </c>
      <c r="Y149" s="123">
        <f>'Parameters | Agora'!$B$4*0.000628933078703959</f>
        <v>37.387555796635546</v>
      </c>
      <c r="Z149" s="123">
        <f>'Parameters | Agora'!$B$4*0.000600345211490142</f>
        <v>35.688121442242981</v>
      </c>
      <c r="AA149" s="123">
        <f>'Parameters | Agora'!$B$4*0.000652160720815184</f>
        <v>38.768346209579427</v>
      </c>
      <c r="AB149" s="123">
        <f>'Parameters | Agora'!$B$4*0.00000091</f>
        <v>5.4095859999999996E-2</v>
      </c>
      <c r="AC149" s="123">
        <f>'Parameters | Agora'!$B$4*0.0000159197849460779</f>
        <v>0.94636753590454692</v>
      </c>
      <c r="AD149" s="123">
        <f>'Parameters | Agora'!$B$4*0</f>
        <v>0</v>
      </c>
      <c r="AE149" s="123">
        <f>'Parameters | Agora'!$B$4*0</f>
        <v>0</v>
      </c>
      <c r="AF149" s="123">
        <f>'Parameters | Agora'!$B$4*0.000281365323992451</f>
        <v>16.726043050055242</v>
      </c>
      <c r="AG149" s="123">
        <f>'Parameters | Agora'!$B$4*2.30211377190441E-06</f>
        <v>0.13685145528462955</v>
      </c>
      <c r="AH149" s="123">
        <f>'Parameters | Agora'!$B$4*1.25665547608483E-06</f>
        <v>7.4703141431338799E-2</v>
      </c>
      <c r="AI149" s="123">
        <f>'Parameters | Agora'!$B$4*0</f>
        <v>0</v>
      </c>
      <c r="AJ149" s="123">
        <f>'Parameters | Agora'!$B$4*9.33267443913792E-09</f>
        <v>5.5479016470899286E-4</v>
      </c>
    </row>
    <row r="150" spans="1:36">
      <c r="A150" s="120" t="s">
        <v>606</v>
      </c>
      <c r="B150" s="120" t="s">
        <v>607</v>
      </c>
      <c r="C150" s="120" t="s">
        <v>114</v>
      </c>
      <c r="D150" s="120" t="s">
        <v>325</v>
      </c>
      <c r="E150" s="120" t="s">
        <v>316</v>
      </c>
      <c r="F150" s="121">
        <v>2023</v>
      </c>
      <c r="G150" s="123">
        <f>'Parameters | Agora'!$B$4*0.0000656177378202133</f>
        <v>3.9007120424603996</v>
      </c>
      <c r="H150" s="123">
        <f>'Parameters | Agora'!$B$4*2.59532051350803E-06</f>
        <v>0.15428142324599836</v>
      </c>
      <c r="I150" s="123">
        <f>'Parameters | Agora'!$B$4*4.76619785776599E-07</f>
        <v>2.8333139785275702E-2</v>
      </c>
      <c r="J150" s="123">
        <f>'Parameters | Agora'!$B$4*8.62473484142803E-08</f>
        <v>5.1270598738353068E-3</v>
      </c>
      <c r="K150" s="123">
        <f>'Parameters | Agora'!$B$4*1.14732020454256E-07</f>
        <v>6.8203596879237022E-3</v>
      </c>
      <c r="L150" s="123">
        <f>'Parameters | Agora'!$B$4*7.28231373129231E-06</f>
        <v>0.43290442207040264</v>
      </c>
      <c r="M150" s="123">
        <f>'Parameters | Agora'!$B$4*0.0000632461034806432</f>
        <v>3.7597278675103158</v>
      </c>
      <c r="N150" s="123">
        <f>'Parameters | Agora'!$B$4*0.000058059424588692</f>
        <v>3.4514005540993846</v>
      </c>
      <c r="O150" s="123">
        <f>'Parameters | Agora'!$B$4*0.0000745796739201724</f>
        <v>4.4334632958585685</v>
      </c>
      <c r="P150" s="123">
        <f>'Parameters | Agora'!$B$4*0.000209833552468264</f>
        <v>12.473765360028422</v>
      </c>
      <c r="Q150" s="123">
        <f>'Parameters | Agora'!$B$4*0.00000332</f>
        <v>0.19736071999999999</v>
      </c>
      <c r="R150" s="123">
        <f>'Parameters | Agora'!$B$4*0.000000228</f>
        <v>1.3553688E-2</v>
      </c>
      <c r="S150" s="123">
        <f>'Parameters | Agora'!$B$4*0.000000010795</f>
        <v>6.4171957000000001E-4</v>
      </c>
      <c r="T150" s="123">
        <f>'Parameters | Agora'!$B$4*1.80437702862714E-06</f>
        <v>0.10726299684376896</v>
      </c>
      <c r="U150" s="123">
        <f>'Parameters | Agora'!$B$4*9.00005298856521E-06</f>
        <v>0.53501714995824745</v>
      </c>
      <c r="V150" s="123">
        <f>'Parameters | Agora'!$B$4*9.00005298856521E-06</f>
        <v>0.53501714995824745</v>
      </c>
      <c r="W150" s="123">
        <f>'Parameters | Agora'!$B$4*3.88785344054027E-06</f>
        <v>0.23111733562635689</v>
      </c>
      <c r="X150" s="123">
        <f>'Parameters | Agora'!$B$4*0.000531</f>
        <v>31.565826000000001</v>
      </c>
      <c r="Y150" s="123">
        <f>'Parameters | Agora'!$B$4*0.000692580425201652</f>
        <v>41.171135956537405</v>
      </c>
      <c r="Z150" s="123">
        <f>'Parameters | Agora'!$B$4*0.000675774514500718</f>
        <v>40.172091789009684</v>
      </c>
      <c r="AA150" s="123">
        <f>'Parameters | Agora'!$B$4*0.000769533805779613</f>
        <v>45.745706618374875</v>
      </c>
      <c r="AB150" s="123">
        <f>'Parameters | Agora'!$B$4*0.00000091</f>
        <v>5.4095859999999996E-2</v>
      </c>
      <c r="AC150" s="123">
        <f>'Parameters | Agora'!$B$4*0.0000579937412034292</f>
        <v>3.4474959395790523</v>
      </c>
      <c r="AD150" s="123">
        <f>'Parameters | Agora'!$B$4*9.22688394068157E-07</f>
        <v>5.4850134273775664E-2</v>
      </c>
      <c r="AE150" s="123">
        <f>'Parameters | Agora'!$B$4*9.22688394068157E-07</f>
        <v>5.4850134273775664E-2</v>
      </c>
      <c r="AF150" s="123">
        <f>'Parameters | Agora'!$B$4*0.000281365323992451</f>
        <v>16.726043050055242</v>
      </c>
      <c r="AG150" s="123">
        <f>'Parameters | Agora'!$B$4*9.85275620889064E-07</f>
        <v>5.8570694559371299E-2</v>
      </c>
      <c r="AH150" s="123">
        <f>'Parameters | Agora'!$B$4*7.71215822747715E-06</f>
        <v>0.45845695799060665</v>
      </c>
      <c r="AI150" s="123">
        <f>'Parameters | Agora'!$B$4*2.92211398515486E-07</f>
        <v>1.7370798796151582E-2</v>
      </c>
      <c r="AJ150" s="123">
        <f>'Parameters | Agora'!$B$4*1.04077416835149E-08</f>
        <v>6.1869861211822665E-4</v>
      </c>
    </row>
    <row r="151" spans="1:36">
      <c r="A151" s="120" t="s">
        <v>608</v>
      </c>
      <c r="B151" s="120" t="s">
        <v>609</v>
      </c>
      <c r="C151" s="120" t="s">
        <v>119</v>
      </c>
      <c r="D151" s="120" t="s">
        <v>319</v>
      </c>
      <c r="E151" s="120" t="s">
        <v>316</v>
      </c>
      <c r="F151" s="121">
        <v>2023</v>
      </c>
      <c r="G151" s="123">
        <f>'Parameters | Agora'!$B$4*0.000246170605219004</f>
        <v>14.633857797848913</v>
      </c>
      <c r="H151" s="123">
        <f>'Parameters | Agora'!$B$4*2.59532051350803E-06</f>
        <v>0.15428142324599836</v>
      </c>
      <c r="I151" s="123">
        <f>'Parameters | Agora'!$B$4*1.78808025118834E-06</f>
        <v>0.10629421861214206</v>
      </c>
      <c r="J151" s="123">
        <f>'Parameters | Agora'!$B$4*2.24299408328451E-07</f>
        <v>1.3333702627493097E-2</v>
      </c>
      <c r="K151" s="123">
        <f>'Parameters | Agora'!$B$4*4.30427074316529E-07</f>
        <v>2.5587167859820382E-2</v>
      </c>
      <c r="L151" s="123">
        <f>'Parameters | Agora'!$B$4*7.28231373129231E-06</f>
        <v>0.43290442207040264</v>
      </c>
      <c r="M151" s="123">
        <f>'Parameters | Agora'!$B$4*0.000116826791583535</f>
        <v>6.9448854524748223</v>
      </c>
      <c r="N151" s="123">
        <f>'Parameters | Agora'!$B$4*0.0000024900337871483</f>
        <v>0.14802254851081784</v>
      </c>
      <c r="O151" s="123">
        <f>'Parameters | Agora'!$B$4*0.0000949960575929191</f>
        <v>5.6471356396686687</v>
      </c>
      <c r="P151" s="123">
        <f>'Parameters | Agora'!$B$4*2.52374228658687E-06</f>
        <v>0.15002638396844309</v>
      </c>
      <c r="Q151" s="123">
        <f>'Parameters | Agora'!$B$4*0.00000332</f>
        <v>0.19736071999999999</v>
      </c>
      <c r="R151" s="123">
        <f>'Parameters | Agora'!$B$4*0.000000228</f>
        <v>1.3553688E-2</v>
      </c>
      <c r="S151" s="123">
        <f>'Parameters | Agora'!$B$4*0.000000010795</f>
        <v>6.4171957000000001E-4</v>
      </c>
      <c r="T151" s="123">
        <f>'Parameters | Agora'!$B$4*1.74410395304119E-09</f>
        <v>1.0368000359248658E-4</v>
      </c>
      <c r="U151" s="123">
        <f>'Parameters | Agora'!$B$4*1.14366972158347E-07</f>
        <v>6.7986590269250953E-3</v>
      </c>
      <c r="V151" s="123">
        <f>'Parameters | Agora'!$B$4*1.14366972158347E-07</f>
        <v>6.7986590269250953E-3</v>
      </c>
      <c r="W151" s="123">
        <f>'Parameters | Agora'!$B$4*3.88785344054027E-06</f>
        <v>0.23111733562635689</v>
      </c>
      <c r="X151" s="123">
        <f>'Parameters | Agora'!$B$4*0.000531</f>
        <v>31.565826000000001</v>
      </c>
      <c r="Y151" s="123">
        <f>'Parameters | Agora'!$B$4*0.00115538176763329</f>
        <v>68.682824558728555</v>
      </c>
      <c r="Z151" s="123">
        <f>'Parameters | Agora'!$B$4*0.0011537635858859</f>
        <v>68.586630126573212</v>
      </c>
      <c r="AA151" s="123">
        <f>'Parameters | Agora'!$B$4*0.00116589994899129</f>
        <v>69.308088367736232</v>
      </c>
      <c r="AB151" s="123">
        <f>'Parameters | Agora'!$B$4*0.00000091</f>
        <v>5.4095859999999996E-2</v>
      </c>
      <c r="AC151" s="123">
        <f>'Parameters | Agora'!$B$4*0.000217568524079242</f>
        <v>12.933578482414619</v>
      </c>
      <c r="AD151" s="123">
        <f>'Parameters | Agora'!$B$4*1.18826439884904E-06</f>
        <v>7.0637565453980034E-2</v>
      </c>
      <c r="AE151" s="123">
        <f>'Parameters | Agora'!$B$4*1.18826439884904E-06</f>
        <v>7.0637565453980034E-2</v>
      </c>
      <c r="AF151" s="123">
        <f>'Parameters | Agora'!$B$4*0.000281365323992451</f>
        <v>16.726043050055242</v>
      </c>
      <c r="AG151" s="123">
        <f>'Parameters | Agora'!$B$4*0</f>
        <v>0</v>
      </c>
      <c r="AH151" s="123">
        <f>'Parameters | Agora'!$B$4*1.1136987210672E-07</f>
        <v>6.6204934172560768E-3</v>
      </c>
      <c r="AI151" s="123">
        <f>-'Parameters | Agora'!$B$4*7.88054175409484E-10</f>
        <v>-4.684666851139219E-5</v>
      </c>
      <c r="AJ151" s="123">
        <f>'Parameters | Agora'!$B$4*3.78515422703675E-09</f>
        <v>2.2501227818042663E-4</v>
      </c>
    </row>
    <row r="152" spans="1:36">
      <c r="A152" s="120" t="s">
        <v>610</v>
      </c>
      <c r="B152" s="120" t="s">
        <v>611</v>
      </c>
      <c r="C152" s="120" t="s">
        <v>119</v>
      </c>
      <c r="D152" s="120" t="s">
        <v>322</v>
      </c>
      <c r="E152" s="120" t="s">
        <v>316</v>
      </c>
      <c r="F152" s="121">
        <v>2023</v>
      </c>
      <c r="G152" s="123">
        <f>'Parameters | Agora'!$B$4*0.0000739865853559201</f>
        <v>4.3982065530680261</v>
      </c>
      <c r="H152" s="123">
        <f>'Parameters | Agora'!$B$4*2.59532051350803E-06</f>
        <v>0.15428142324599836</v>
      </c>
      <c r="I152" s="123">
        <f>'Parameters | Agora'!$B$4*1.66984526094237E-07</f>
        <v>9.9265621381980137E-3</v>
      </c>
      <c r="J152" s="123">
        <f>'Parameters | Agora'!$B$4*2.24299408328451E-07</f>
        <v>1.3333702627493097E-2</v>
      </c>
      <c r="K152" s="123">
        <f>'Parameters | Agora'!$B$4*4.01965521262858E-08</f>
        <v>2.3895242376991855E-3</v>
      </c>
      <c r="L152" s="123">
        <f>'Parameters | Agora'!$B$4*7.28231373129231E-06</f>
        <v>0.43290442207040264</v>
      </c>
      <c r="M152" s="123">
        <f>'Parameters | Agora'!$B$4*0.000018381423300721</f>
        <v>1.0927020895346604</v>
      </c>
      <c r="N152" s="123">
        <f>'Parameters | Agora'!$B$4*0.0000147641317800703</f>
        <v>0.87766857779805907</v>
      </c>
      <c r="O152" s="123">
        <f>'Parameters | Agora'!$B$4*0.000308049534124747</f>
        <v>18.312312605579709</v>
      </c>
      <c r="P152" s="123">
        <f>'Parameters | Agora'!$B$4*0.000593089024750487</f>
        <v>35.256770165317448</v>
      </c>
      <c r="Q152" s="123">
        <f>'Parameters | Agora'!$B$4*0.00000332</f>
        <v>0.19736071999999999</v>
      </c>
      <c r="R152" s="123">
        <f>'Parameters | Agora'!$B$4*0.000000228</f>
        <v>1.3553688E-2</v>
      </c>
      <c r="S152" s="123">
        <f>'Parameters | Agora'!$B$4*0.000000010795</f>
        <v>6.4171957000000001E-4</v>
      </c>
      <c r="T152" s="123">
        <f>'Parameters | Agora'!$B$4*1.22457177822503E-07</f>
        <v>7.2795893928365137E-3</v>
      </c>
      <c r="U152" s="123">
        <f>'Parameters | Agora'!$B$4*9.30272518298376E-08</f>
        <v>5.5300980122765259E-3</v>
      </c>
      <c r="V152" s="123">
        <f>'Parameters | Agora'!$B$4*9.30272518298376E-08</f>
        <v>5.5300980122765259E-3</v>
      </c>
      <c r="W152" s="123">
        <f>'Parameters | Agora'!$B$4*3.88785344054027E-06</f>
        <v>0.23111733562635689</v>
      </c>
      <c r="X152" s="123">
        <f>'Parameters | Agora'!$B$4*0.000531</f>
        <v>31.565826000000001</v>
      </c>
      <c r="Y152" s="123">
        <f>'Parameters | Agora'!$B$4*0.000930791767889834</f>
        <v>55.331847433979071</v>
      </c>
      <c r="Z152" s="123">
        <f>'Parameters | Agora'!$B$4*0.000669698785909597</f>
        <v>39.810914027181902</v>
      </c>
      <c r="AA152" s="123">
        <f>'Parameters | Agora'!$B$4*0.00102222144028003</f>
        <v>60.766975738886657</v>
      </c>
      <c r="AB152" s="123">
        <f>'Parameters | Agora'!$B$4*0.00000091</f>
        <v>5.4095859999999996E-2</v>
      </c>
      <c r="AC152" s="123">
        <f>'Parameters | Agora'!$B$4*0.0000653902287124398</f>
        <v>3.8871875360396961</v>
      </c>
      <c r="AD152" s="123">
        <f>'Parameters | Agora'!$B$4*2.8849948760866E-07</f>
        <v>1.7150140540384402E-2</v>
      </c>
      <c r="AE152" s="123">
        <f>'Parameters | Agora'!$B$4*2.8849948760866E-07</f>
        <v>1.7150140540384402E-2</v>
      </c>
      <c r="AF152" s="123">
        <f>'Parameters | Agora'!$B$4*0.000281365323992451</f>
        <v>16.726043050055242</v>
      </c>
      <c r="AG152" s="123">
        <f>'Parameters | Agora'!$B$4*9.2551478735841E-08</f>
        <v>5.5018152049308043E-3</v>
      </c>
      <c r="AH152" s="123">
        <f>'Parameters | Agora'!$B$4*1.428997640305E-12</f>
        <v>8.4948193725571029E-8</v>
      </c>
      <c r="AI152" s="123">
        <f>'Parameters | Agora'!$B$4*6.65217402051496E-11</f>
        <v>3.9544513682353233E-6</v>
      </c>
      <c r="AJ152" s="123">
        <f>'Parameters | Agora'!$B$4*4.07822356151139E-10</f>
        <v>2.4243407783760611E-5</v>
      </c>
    </row>
    <row r="153" spans="1:36">
      <c r="A153" s="120" t="s">
        <v>612</v>
      </c>
      <c r="B153" s="120" t="s">
        <v>613</v>
      </c>
      <c r="C153" s="120" t="s">
        <v>115</v>
      </c>
      <c r="D153" s="120" t="s">
        <v>121</v>
      </c>
      <c r="E153" s="120" t="s">
        <v>316</v>
      </c>
      <c r="F153" s="121">
        <v>2023</v>
      </c>
      <c r="G153" s="123">
        <f>'Parameters | Agora'!$B$4*0.00001228974663963</f>
        <v>0.73057627873944497</v>
      </c>
      <c r="H153" s="123">
        <f>'Parameters | Agora'!$B$4*2.59532051350803E-06</f>
        <v>0.15428142324599836</v>
      </c>
      <c r="I153" s="123">
        <f>'Parameters | Agora'!$B$4*1.96213172790901E-06</f>
        <v>0.11664088269727901</v>
      </c>
      <c r="J153" s="123">
        <f>'Parameters | Agora'!$B$4*4.88936917779182E-08</f>
        <v>2.9065344014301254E-3</v>
      </c>
      <c r="K153" s="123">
        <f>'Parameters | Agora'!$B$4*4.72324784363694E-07</f>
        <v>2.8077819131284154E-2</v>
      </c>
      <c r="L153" s="123">
        <f>'Parameters | Agora'!$B$4*7.28231373129231E-06</f>
        <v>0.43290442207040264</v>
      </c>
      <c r="M153" s="123">
        <f>'Parameters | Agora'!$B$4*0.000106194022565984</f>
        <v>6.3128098654574849</v>
      </c>
      <c r="N153" s="123">
        <f>'Parameters | Agora'!$B$4*0.0000264224453301514</f>
        <v>1.57070868509618</v>
      </c>
      <c r="O153" s="123">
        <f>'Parameters | Agora'!$B$4*0.0000231275603633315</f>
        <v>1.3748409533586043</v>
      </c>
      <c r="P153" s="123">
        <f>'Parameters | Agora'!$B$4*0.0000227244667789024</f>
        <v>1.350878652138632</v>
      </c>
      <c r="Q153" s="123">
        <f>'Parameters | Agora'!$B$4*0.00000332</f>
        <v>0.19736071999999999</v>
      </c>
      <c r="R153" s="123">
        <f>'Parameters | Agora'!$B$4*0.000000228</f>
        <v>1.3553688E-2</v>
      </c>
      <c r="S153" s="123">
        <f>'Parameters | Agora'!$B$4*0.000000010795</f>
        <v>6.4171957000000001E-4</v>
      </c>
      <c r="T153" s="123">
        <f>'Parameters | Agora'!$B$4*2.89053542735121E-06</f>
        <v>0.17183076901432001</v>
      </c>
      <c r="U153" s="123">
        <f>'Parameters | Agora'!$B$4*3.43087338085522E-06</f>
        <v>0.20395169899831941</v>
      </c>
      <c r="V153" s="123">
        <f>'Parameters | Agora'!$B$4*3.43087338085522E-06</f>
        <v>0.20395169899831941</v>
      </c>
      <c r="W153" s="123">
        <f>'Parameters | Agora'!$B$4*3.88785344054027E-06</f>
        <v>0.23111733562635689</v>
      </c>
      <c r="X153" s="123">
        <f>'Parameters | Agora'!$B$4*0.000531</f>
        <v>31.565826000000001</v>
      </c>
      <c r="Y153" s="123">
        <f>'Parameters | Agora'!$B$4*0.000363073653014867</f>
        <v>21.583276377121784</v>
      </c>
      <c r="Z153" s="123">
        <f>'Parameters | Agora'!$B$4*0.000321868291966071</f>
        <v>19.133782484215057</v>
      </c>
      <c r="AA153" s="123">
        <f>'Parameters | Agora'!$B$4*0.000379789035327115</f>
        <v>22.576938994055677</v>
      </c>
      <c r="AB153" s="123">
        <f>'Parameters | Agora'!$B$4*0.00000091</f>
        <v>5.4095859999999996E-2</v>
      </c>
      <c r="AC153" s="123">
        <f>'Parameters | Agora'!$B$4*0.0000108618250148646</f>
        <v>0.64569204983364104</v>
      </c>
      <c r="AD153" s="123">
        <f>'Parameters | Agora'!$B$4*8.18376303349804E-06</f>
        <v>0.48649197728932453</v>
      </c>
      <c r="AE153" s="123">
        <f>'Parameters | Agora'!$B$4*8.18376303349804E-06</f>
        <v>0.48649197728932453</v>
      </c>
      <c r="AF153" s="123">
        <f>'Parameters | Agora'!$B$4*0.000281365323992451</f>
        <v>16.726043050055242</v>
      </c>
      <c r="AG153" s="123">
        <f>'Parameters | Agora'!$B$4*2.25225543403884E-06</f>
        <v>0.13388757653187289</v>
      </c>
      <c r="AH153" s="123">
        <f>'Parameters | Agora'!$B$4*1.07167249709433E-06</f>
        <v>6.3706643262269533E-2</v>
      </c>
      <c r="AI153" s="123">
        <f>'Parameters | Agora'!$B$4*9.82318327395843E-08</f>
        <v>5.8394895290373285E-3</v>
      </c>
      <c r="AJ153" s="123">
        <f>'Parameters | Agora'!$B$4*8.71361698246425E-09</f>
        <v>5.1798967513956985E-4</v>
      </c>
    </row>
    <row r="154" spans="1:36">
      <c r="A154" s="120" t="s">
        <v>614</v>
      </c>
      <c r="B154" s="120" t="s">
        <v>615</v>
      </c>
      <c r="C154" s="120" t="s">
        <v>118</v>
      </c>
      <c r="D154" s="120" t="s">
        <v>325</v>
      </c>
      <c r="E154" s="120" t="s">
        <v>316</v>
      </c>
      <c r="F154" s="121">
        <v>2023</v>
      </c>
      <c r="G154" s="123">
        <f>'Parameters | Agora'!$B$4*0.0000815183082607345</f>
        <v>4.8459373528676233</v>
      </c>
      <c r="H154" s="123">
        <f>'Parameters | Agora'!$B$4*2.59532051350803E-06</f>
        <v>0.15428142324599836</v>
      </c>
      <c r="I154" s="123">
        <f>'Parameters | Agora'!$B$4*5.92114874891854E-07</f>
        <v>3.5198860852821152E-2</v>
      </c>
      <c r="J154" s="123">
        <f>'Parameters | Agora'!$B$4*2.87307050554589E-07</f>
        <v>1.7079254927268098E-2</v>
      </c>
      <c r="K154" s="123">
        <f>'Parameters | Agora'!$B$4*1.4253402390056E-07</f>
        <v>8.4730775847926907E-3</v>
      </c>
      <c r="L154" s="123">
        <f>'Parameters | Agora'!$B$4*7.28231373129231E-06</f>
        <v>0.43290442207040264</v>
      </c>
      <c r="M154" s="123">
        <f>'Parameters | Agora'!$B$4*0</f>
        <v>0</v>
      </c>
      <c r="N154" s="123">
        <f>'Parameters | Agora'!$B$4*0</f>
        <v>0</v>
      </c>
      <c r="O154" s="123">
        <f>'Parameters | Agora'!$B$4*0.00343068901979318</f>
        <v>203.94073947062537</v>
      </c>
      <c r="P154" s="123">
        <f>'Parameters | Agora'!$B$4*0.0227175994895076</f>
        <v>1350.4704192532688</v>
      </c>
      <c r="Q154" s="123">
        <f>'Parameters | Agora'!$B$4*0.00000332</f>
        <v>0.19736071999999999</v>
      </c>
      <c r="R154" s="123">
        <f>'Parameters | Agora'!$B$4*0.000000228</f>
        <v>1.3553688E-2</v>
      </c>
      <c r="S154" s="123">
        <f>'Parameters | Agora'!$B$4*0.000000010795</f>
        <v>6.4171957000000001E-4</v>
      </c>
      <c r="T154" s="123">
        <f>'Parameters | Agora'!$B$4*1.46853984013707E-06</f>
        <v>8.7298819336788264E-2</v>
      </c>
      <c r="U154" s="123">
        <f>'Parameters | Agora'!$B$4*3.50683719443472E-06</f>
        <v>0.20846744386036636</v>
      </c>
      <c r="V154" s="123">
        <f>'Parameters | Agora'!$B$4*3.50683719443472E-06</f>
        <v>0.20846744386036636</v>
      </c>
      <c r="W154" s="123">
        <f>'Parameters | Agora'!$B$4*3.88785344054027E-06</f>
        <v>0.23111733562635689</v>
      </c>
      <c r="X154" s="123">
        <f>'Parameters | Agora'!$B$4*0.000531</f>
        <v>31.565826000000001</v>
      </c>
      <c r="Y154" s="123">
        <f>'Parameters | Agora'!$B$4*0.000789956811372008</f>
        <v>46.959772608820387</v>
      </c>
      <c r="Z154" s="123">
        <f>'Parameters | Agora'!$B$4*0.00076580821537948</f>
        <v>45.524235171448566</v>
      </c>
      <c r="AA154" s="123">
        <f>'Parameters | Agora'!$B$4*0.000820059855691461</f>
        <v>48.74927818143459</v>
      </c>
      <c r="AB154" s="123">
        <f>'Parameters | Agora'!$B$4*0.00000091</f>
        <v>5.4095859999999996E-2</v>
      </c>
      <c r="AC154" s="123">
        <f>'Parameters | Agora'!$B$4*0.0000720468554641044</f>
        <v>4.2828973699191506</v>
      </c>
      <c r="AD154" s="123">
        <f>'Parameters | Agora'!$B$4*1.57069629761051E-06</f>
        <v>9.3371612107754381E-2</v>
      </c>
      <c r="AE154" s="123">
        <f>'Parameters | Agora'!$B$4*1.57069629761051E-06</f>
        <v>9.3371612107754381E-2</v>
      </c>
      <c r="AF154" s="123">
        <f>'Parameters | Agora'!$B$4*0.000281365323992451</f>
        <v>16.726043050055242</v>
      </c>
      <c r="AG154" s="123">
        <f>'Parameters | Agora'!$B$4*9.60145327888037E-07</f>
        <v>5.7076799161632254E-2</v>
      </c>
      <c r="AH154" s="123">
        <f>'Parameters | Agora'!$B$4*2.40817845856712E-06</f>
        <v>0.14315657664798101</v>
      </c>
      <c r="AI154" s="123">
        <f>'Parameters | Agora'!$B$4*1.30948542619024E-07</f>
        <v>7.7843670645305011E-3</v>
      </c>
      <c r="AJ154" s="123">
        <f>'Parameters | Agora'!$B$4*7.56486536053381E-09</f>
        <v>4.4970098622229289E-4</v>
      </c>
    </row>
    <row r="155" spans="1:36">
      <c r="A155" s="120" t="s">
        <v>616</v>
      </c>
      <c r="B155" s="120" t="s">
        <v>617</v>
      </c>
      <c r="C155" s="120" t="s">
        <v>116</v>
      </c>
      <c r="D155" s="120" t="s">
        <v>121</v>
      </c>
      <c r="E155" s="120" t="s">
        <v>316</v>
      </c>
      <c r="F155" s="121">
        <v>2023</v>
      </c>
      <c r="G155" s="123">
        <f>'Parameters | Agora'!$B$4*0.0000414911723070186</f>
        <v>2.466484228963028</v>
      </c>
      <c r="H155" s="123">
        <f>'Parameters | Agora'!$B$4*2.59532051350803E-06</f>
        <v>0.15428142324599836</v>
      </c>
      <c r="I155" s="123">
        <f>'Parameters | Agora'!$B$4*1.07786782161148E-06</f>
        <v>6.4074930523516038E-2</v>
      </c>
      <c r="J155" s="123">
        <f>'Parameters | Agora'!$B$4*8.63343994036925E-08</f>
        <v>5.1322347069519044E-3</v>
      </c>
      <c r="K155" s="123">
        <f>'Parameters | Agora'!$B$4*2.59464580880989E-07</f>
        <v>1.542413147505127E-2</v>
      </c>
      <c r="L155" s="123">
        <f>'Parameters | Agora'!$B$4*7.28231373129231E-06</f>
        <v>0.43290442207040264</v>
      </c>
      <c r="M155" s="123">
        <f>'Parameters | Agora'!$B$4*0.0000600190337539823</f>
        <v>3.5678914805392319</v>
      </c>
      <c r="N155" s="123">
        <f>'Parameters | Agora'!$B$4*0.000679261983649258</f>
        <v>40.379407880013787</v>
      </c>
      <c r="O155" s="123">
        <f>'Parameters | Agora'!$B$4*0.000158887062755249</f>
        <v>9.4452003325485325</v>
      </c>
      <c r="P155" s="123">
        <f>'Parameters | Agora'!$B$4*0.000110409065948861</f>
        <v>6.5633773343959909</v>
      </c>
      <c r="Q155" s="123">
        <f>'Parameters | Agora'!$B$4*0.00000332</f>
        <v>0.19736071999999999</v>
      </c>
      <c r="R155" s="123">
        <f>'Parameters | Agora'!$B$4*0.000000228</f>
        <v>1.3553688E-2</v>
      </c>
      <c r="S155" s="123">
        <f>'Parameters | Agora'!$B$4*0.000000010795</f>
        <v>6.4171957000000001E-4</v>
      </c>
      <c r="T155" s="123">
        <f>'Parameters | Agora'!$B$4*1.91020213494282E-06</f>
        <v>0.11355387611381088</v>
      </c>
      <c r="U155" s="123">
        <f>'Parameters | Agora'!$B$4*4.26732705323812E-06</f>
        <v>0.25367552400679327</v>
      </c>
      <c r="V155" s="123">
        <f>'Parameters | Agora'!$B$4*4.26732705323812E-06</f>
        <v>0.25367552400679327</v>
      </c>
      <c r="W155" s="123">
        <f>'Parameters | Agora'!$B$4*3.88785344054027E-06</f>
        <v>0.23111733562635689</v>
      </c>
      <c r="X155" s="123">
        <f>'Parameters | Agora'!$B$4*0.000531</f>
        <v>31.565826000000001</v>
      </c>
      <c r="Y155" s="123">
        <f>'Parameters | Agora'!$B$4*0.000669148936170213</f>
        <v>39.778227659574483</v>
      </c>
      <c r="Z155" s="123">
        <f>'Parameters | Agora'!$B$4*0.000671642658913704</f>
        <v>39.926469501784048</v>
      </c>
      <c r="AA155" s="123">
        <f>'Parameters | Agora'!$B$4*0.000633405576846835</f>
        <v>37.653427921236954</v>
      </c>
      <c r="AB155" s="123">
        <f>'Parameters | Agora'!$B$4*0.00000091</f>
        <v>5.4095859999999996E-2</v>
      </c>
      <c r="AC155" s="123">
        <f>'Parameters | Agora'!$B$4*0.0000366703941484996</f>
        <v>2.1799082505517071</v>
      </c>
      <c r="AD155" s="123">
        <f>'Parameters | Agora'!$B$4*2.03480819597193E-06</f>
        <v>0.12096120801774735</v>
      </c>
      <c r="AE155" s="123">
        <f>'Parameters | Agora'!$B$4*2.03480819597193E-06</f>
        <v>0.12096120801774735</v>
      </c>
      <c r="AF155" s="123">
        <f>'Parameters | Agora'!$B$4*0.000281365323992451</f>
        <v>16.726043050055242</v>
      </c>
      <c r="AG155" s="123">
        <f>'Parameters | Agora'!$B$4*0.0000017427258870823</f>
        <v>0.10359808308349441</v>
      </c>
      <c r="AH155" s="123">
        <f>'Parameters | Agora'!$B$4*2.53129502162977E-06</f>
        <v>0.15047536385580332</v>
      </c>
      <c r="AI155" s="123">
        <f>-'Parameters | Agora'!$B$4*2.42451397666664E-08</f>
        <v>-1.4412765785692507E-3</v>
      </c>
      <c r="AJ155" s="123">
        <f>'Parameters | Agora'!$B$4*1.75512842927134E-08</f>
        <v>1.0433536460646409E-3</v>
      </c>
    </row>
    <row r="156" spans="1:36">
      <c r="A156" s="120" t="s">
        <v>618</v>
      </c>
      <c r="B156" s="120" t="s">
        <v>619</v>
      </c>
      <c r="C156" s="120" t="s">
        <v>116</v>
      </c>
      <c r="D156" s="120" t="s">
        <v>322</v>
      </c>
      <c r="E156" s="120" t="s">
        <v>316</v>
      </c>
      <c r="F156" s="121">
        <v>2023</v>
      </c>
      <c r="G156" s="123">
        <f>'Parameters | Agora'!$B$4*0.0000381354025346959</f>
        <v>2.2669971390775321</v>
      </c>
      <c r="H156" s="123">
        <f>'Parameters | Agora'!$B$4*2.59532051350803E-06</f>
        <v>0.15428142324599836</v>
      </c>
      <c r="I156" s="123">
        <f>'Parameters | Agora'!$B$4*9.4260365866935E-07</f>
        <v>5.6034017093258184E-2</v>
      </c>
      <c r="J156" s="123">
        <f>'Parameters | Agora'!$B$4*8.63343994036925E-08</f>
        <v>5.1322347069519044E-3</v>
      </c>
      <c r="K156" s="123">
        <f>'Parameters | Agora'!$B$4*2.26903761602123E-07</f>
        <v>1.3488521012199804E-2</v>
      </c>
      <c r="L156" s="123">
        <f>'Parameters | Agora'!$B$4*7.28231373129231E-06</f>
        <v>0.43290442207040264</v>
      </c>
      <c r="M156" s="123">
        <f>'Parameters | Agora'!$B$4*0.000159424445456297</f>
        <v>9.4771455845950321</v>
      </c>
      <c r="N156" s="123">
        <f>'Parameters | Agora'!$B$4*0.0000903274475250352</f>
        <v>5.3696054455732423</v>
      </c>
      <c r="O156" s="123">
        <f>'Parameters | Agora'!$B$4*0.0000736721680915777</f>
        <v>4.3795157043719275</v>
      </c>
      <c r="P156" s="123">
        <f>'Parameters | Agora'!$B$4*0.000104143689462216</f>
        <v>6.1909257637708928</v>
      </c>
      <c r="Q156" s="123">
        <f>'Parameters | Agora'!$B$4*0.00000332</f>
        <v>0.19736071999999999</v>
      </c>
      <c r="R156" s="123">
        <f>'Parameters | Agora'!$B$4*0.000000228</f>
        <v>1.3553688E-2</v>
      </c>
      <c r="S156" s="123">
        <f>'Parameters | Agora'!$B$4*0.000000010795</f>
        <v>6.4171957000000001E-4</v>
      </c>
      <c r="T156" s="123">
        <f>'Parameters | Agora'!$B$4*2.38346914061198E-06</f>
        <v>0.14168770653281976</v>
      </c>
      <c r="U156" s="123">
        <f>'Parameters | Agora'!$B$4*6.58507407304717E-06</f>
        <v>0.39145631334636205</v>
      </c>
      <c r="V156" s="123">
        <f>'Parameters | Agora'!$B$4*6.58507407304717E-06</f>
        <v>0.39145631334636205</v>
      </c>
      <c r="W156" s="123">
        <f>'Parameters | Agora'!$B$4*3.88785344054027E-06</f>
        <v>0.23111733562635689</v>
      </c>
      <c r="X156" s="123">
        <f>'Parameters | Agora'!$B$4*0.000531</f>
        <v>31.565826000000001</v>
      </c>
      <c r="Y156" s="123">
        <f>'Parameters | Agora'!$B$4*0.000408234891230428</f>
        <v>24.267931344084023</v>
      </c>
      <c r="Z156" s="123">
        <f>'Parameters | Agora'!$B$4*0.0004091441003423</f>
        <v>24.321980188948366</v>
      </c>
      <c r="AA156" s="123">
        <f>'Parameters | Agora'!$B$4*0.000406416473006685</f>
        <v>24.159833654355396</v>
      </c>
      <c r="AB156" s="123">
        <f>'Parameters | Agora'!$B$4*0.00000091</f>
        <v>5.4095859999999996E-2</v>
      </c>
      <c r="AC156" s="123">
        <f>'Parameters | Agora'!$B$4*0.0000337045247025336</f>
        <v>2.0035991754668125</v>
      </c>
      <c r="AD156" s="123">
        <f>'Parameters | Agora'!$B$4*2.12287205293362E-06</f>
        <v>0.12619625205869198</v>
      </c>
      <c r="AE156" s="123">
        <f>'Parameters | Agora'!$B$4*2.12287205293362E-06</f>
        <v>0.12619625205869198</v>
      </c>
      <c r="AF156" s="123">
        <f>'Parameters | Agora'!$B$4*0.000281365323992451</f>
        <v>16.726043050055242</v>
      </c>
      <c r="AG156" s="123">
        <f>'Parameters | Agora'!$B$4*1.68071907720729E-06</f>
        <v>9.9912026263664563E-2</v>
      </c>
      <c r="AH156" s="123">
        <f>'Parameters | Agora'!$B$4*0.0000046772980814651</f>
        <v>0.27804666175077436</v>
      </c>
      <c r="AI156" s="123">
        <f>'Parameters | Agora'!$B$4*2.11033439827124E-07</f>
        <v>1.2545093863963214E-2</v>
      </c>
      <c r="AJ156" s="123">
        <f>'Parameters | Agora'!$B$4*1.60234745476584E-08</f>
        <v>9.5253146796010118E-4</v>
      </c>
    </row>
    <row r="157" spans="1:36">
      <c r="A157" s="120" t="s">
        <v>620</v>
      </c>
      <c r="B157" s="120" t="s">
        <v>621</v>
      </c>
      <c r="C157" s="120" t="s">
        <v>116</v>
      </c>
      <c r="D157" s="120" t="s">
        <v>322</v>
      </c>
      <c r="E157" s="120" t="s">
        <v>316</v>
      </c>
      <c r="F157" s="121">
        <v>2023</v>
      </c>
      <c r="G157" s="123">
        <f>'Parameters | Agora'!$B$4*0.000056296210984902</f>
        <v>3.3465845582084843</v>
      </c>
      <c r="H157" s="123">
        <f>'Parameters | Agora'!$B$4*2.59532051350803E-06</f>
        <v>0.15428142324599836</v>
      </c>
      <c r="I157" s="123">
        <f>'Parameters | Agora'!$B$4*9.4260365866935E-07</f>
        <v>5.6034017093258184E-2</v>
      </c>
      <c r="J157" s="123">
        <f>'Parameters | Agora'!$B$4*8.63343994036925E-08</f>
        <v>5.1322347069519044E-3</v>
      </c>
      <c r="K157" s="123">
        <f>'Parameters | Agora'!$B$4*2.26903761602123E-07</f>
        <v>1.3488521012199804E-2</v>
      </c>
      <c r="L157" s="123">
        <f>'Parameters | Agora'!$B$4*7.28231373129231E-06</f>
        <v>0.43290442207040264</v>
      </c>
      <c r="M157" s="123">
        <f>'Parameters | Agora'!$B$4*0.000159424445456297</f>
        <v>9.4771455845950321</v>
      </c>
      <c r="N157" s="123">
        <f>'Parameters | Agora'!$B$4*0.0000903274475250352</f>
        <v>5.3696054455732423</v>
      </c>
      <c r="O157" s="123">
        <f>'Parameters | Agora'!$B$4*0.0000736721680915777</f>
        <v>4.3795157043719275</v>
      </c>
      <c r="P157" s="123">
        <f>'Parameters | Agora'!$B$4*0.000104143689462216</f>
        <v>6.1909257637708928</v>
      </c>
      <c r="Q157" s="123">
        <f>'Parameters | Agora'!$B$4*0.00000332</f>
        <v>0.19736071999999999</v>
      </c>
      <c r="R157" s="123">
        <f>'Parameters | Agora'!$B$4*0.000000228</f>
        <v>1.3553688E-2</v>
      </c>
      <c r="S157" s="123">
        <f>'Parameters | Agora'!$B$4*0.000000010795</f>
        <v>6.4171957000000001E-4</v>
      </c>
      <c r="T157" s="123">
        <f>'Parameters | Agora'!$B$4*2.65152204523242E-06</f>
        <v>0.15762237950088645</v>
      </c>
      <c r="U157" s="123">
        <f>'Parameters | Agora'!$B$4*9.62737027997807E-06</f>
        <v>0.57230865366357642</v>
      </c>
      <c r="V157" s="123">
        <f>'Parameters | Agora'!$B$4*9.62737027997807E-06</f>
        <v>0.57230865366357642</v>
      </c>
      <c r="W157" s="123">
        <f>'Parameters | Agora'!$B$4*3.88785344054027E-06</f>
        <v>0.23111733562635689</v>
      </c>
      <c r="X157" s="123">
        <f>'Parameters | Agora'!$B$4*0.000531</f>
        <v>31.565826000000001</v>
      </c>
      <c r="Y157" s="123">
        <f>'Parameters | Agora'!$B$4*0.000494989873080787</f>
        <v>29.425167995160461</v>
      </c>
      <c r="Z157" s="123">
        <f>'Parameters | Agora'!$B$4*0.000467110528475812</f>
        <v>27.767852475773122</v>
      </c>
      <c r="AA157" s="123">
        <f>'Parameters | Agora'!$B$4*0.000500250126779839</f>
        <v>29.737869036554308</v>
      </c>
      <c r="AB157" s="123">
        <f>'Parameters | Agora'!$B$4*0.00000091</f>
        <v>5.4095859999999996E-2</v>
      </c>
      <c r="AC157" s="123">
        <f>'Parameters | Agora'!$B$4*0.000049755264339307</f>
        <v>2.9577514439144439</v>
      </c>
      <c r="AD157" s="123">
        <f>'Parameters | Agora'!$B$4*2.12287205293362E-06</f>
        <v>0.12619625205869198</v>
      </c>
      <c r="AE157" s="123">
        <f>'Parameters | Agora'!$B$4*2.12287205293362E-06</f>
        <v>0.12619625205869198</v>
      </c>
      <c r="AF157" s="123">
        <f>'Parameters | Agora'!$B$4*0.000281365323992451</f>
        <v>16.726043050055242</v>
      </c>
      <c r="AG157" s="123">
        <f>'Parameters | Agora'!$B$4*1.66122047184406E-06</f>
        <v>9.8752912169241994E-2</v>
      </c>
      <c r="AH157" s="123">
        <f>'Parameters | Agora'!$B$4*7.62713882384109E-06</f>
        <v>0.45340289452205745</v>
      </c>
      <c r="AI157" s="123">
        <f>'Parameters | Agora'!$B$4*3.2788102809026E-07</f>
        <v>1.9491215595853595E-2</v>
      </c>
      <c r="AJ157" s="123">
        <f>'Parameters | Agora'!$B$4*1.11299562026672E-08</f>
        <v>6.6163137642375434E-4</v>
      </c>
    </row>
    <row r="158" spans="1:36">
      <c r="A158" s="120" t="s">
        <v>622</v>
      </c>
      <c r="B158" s="120" t="s">
        <v>623</v>
      </c>
      <c r="C158" s="120" t="s">
        <v>119</v>
      </c>
      <c r="D158" s="120" t="s">
        <v>319</v>
      </c>
      <c r="E158" s="120" t="s">
        <v>316</v>
      </c>
      <c r="F158" s="121">
        <v>2023</v>
      </c>
      <c r="G158" s="123">
        <f>'Parameters | Agora'!$B$4*0.000207917348834547</f>
        <v>12.359854718818481</v>
      </c>
      <c r="H158" s="123">
        <f>'Parameters | Agora'!$B$4*2.59532051350803E-06</f>
        <v>0.15428142324599836</v>
      </c>
      <c r="I158" s="123">
        <f>'Parameters | Agora'!$B$4*1.51022460622276E-06</f>
        <v>8.9776811941518195E-2</v>
      </c>
      <c r="J158" s="123">
        <f>'Parameters | Agora'!$B$4*2.24299408328451E-07</f>
        <v>1.3333702627493097E-2</v>
      </c>
      <c r="K158" s="123">
        <f>'Parameters | Agora'!$B$4*3.63541601885757E-07</f>
        <v>2.161109406570071E-2</v>
      </c>
      <c r="L158" s="123">
        <f>'Parameters | Agora'!$B$4*7.28231373129231E-06</f>
        <v>0.43290442207040264</v>
      </c>
      <c r="M158" s="123">
        <f>'Parameters | Agora'!$B$4*0.0000747376239201057</f>
        <v>4.4428527915546034</v>
      </c>
      <c r="N158" s="123">
        <f>'Parameters | Agora'!$B$4*7.44761204189482E-06</f>
        <v>0.44273074544247942</v>
      </c>
      <c r="O158" s="123">
        <f>'Parameters | Agora'!$B$4*0.0000978671551046824</f>
        <v>5.8178109023529494</v>
      </c>
      <c r="P158" s="123">
        <f>'Parameters | Agora'!$B$4*0.000104828984779162</f>
        <v>6.2316638291820645</v>
      </c>
      <c r="Q158" s="123">
        <f>'Parameters | Agora'!$B$4*0.00000332</f>
        <v>0.19736071999999999</v>
      </c>
      <c r="R158" s="123">
        <f>'Parameters | Agora'!$B$4*0.000000228</f>
        <v>1.3553688E-2</v>
      </c>
      <c r="S158" s="123">
        <f>'Parameters | Agora'!$B$4*0.000000010795</f>
        <v>6.4171957000000001E-4</v>
      </c>
      <c r="T158" s="123">
        <f>'Parameters | Agora'!$B$4*2.09207464007632E-07</f>
        <v>1.2436546905397692E-2</v>
      </c>
      <c r="U158" s="123">
        <f>'Parameters | Agora'!$B$4*5.09107974991907E-08</f>
        <v>3.0264432681368901E-3</v>
      </c>
      <c r="V158" s="123">
        <f>'Parameters | Agora'!$B$4*5.09107974991907E-08</f>
        <v>3.0264432681368901E-3</v>
      </c>
      <c r="W158" s="123">
        <f>'Parameters | Agora'!$B$4*3.88785344054027E-06</f>
        <v>0.23111733562635689</v>
      </c>
      <c r="X158" s="123">
        <f>'Parameters | Agora'!$B$4*0.000531</f>
        <v>31.565826000000001</v>
      </c>
      <c r="Y158" s="123">
        <f>'Parameters | Agora'!$B$4*0.00079222703519613</f>
        <v>47.094728334269149</v>
      </c>
      <c r="Z158" s="123">
        <f>'Parameters | Agora'!$B$4*0.0007763307391096</f>
        <v>46.149757117109282</v>
      </c>
      <c r="AA158" s="123">
        <f>'Parameters | Agora'!$B$4*0.000867272339976724</f>
        <v>51.555871522256332</v>
      </c>
      <c r="AB158" s="123">
        <f>'Parameters | Agora'!$B$4*0.00000091</f>
        <v>5.4095859999999996E-2</v>
      </c>
      <c r="AC158" s="123">
        <f>'Parameters | Agora'!$B$4*0.000183759838735243</f>
        <v>10.923787373455255</v>
      </c>
      <c r="AD158" s="123">
        <f>'Parameters | Agora'!$B$4*2.44244338513122E-06</f>
        <v>0.14519348947251051</v>
      </c>
      <c r="AE158" s="123">
        <f>'Parameters | Agora'!$B$4*2.44244338513122E-06</f>
        <v>0.14519348947251051</v>
      </c>
      <c r="AF158" s="123">
        <f>'Parameters | Agora'!$B$4*0.000281365323992451</f>
        <v>16.726043050055242</v>
      </c>
      <c r="AG158" s="123">
        <f>'Parameters | Agora'!$B$4*0</f>
        <v>0</v>
      </c>
      <c r="AH158" s="123">
        <f>'Parameters | Agora'!$B$4*5.1704097077796E-08</f>
        <v>3.073601754886661E-3</v>
      </c>
      <c r="AI158" s="123">
        <f>-'Parameters | Agora'!$B$4*2.71446600205915E-09</f>
        <v>-1.6136414595840822E-4</v>
      </c>
      <c r="AJ158" s="123">
        <f>'Parameters | Agora'!$B$4*1.92116642345385E-09</f>
        <v>1.1420565920863757E-4</v>
      </c>
    </row>
    <row r="159" spans="1:36">
      <c r="A159" s="120" t="s">
        <v>624</v>
      </c>
      <c r="B159" s="120" t="s">
        <v>625</v>
      </c>
      <c r="C159" s="120" t="s">
        <v>116</v>
      </c>
      <c r="D159" s="120" t="s">
        <v>322</v>
      </c>
      <c r="E159" s="120" t="s">
        <v>316</v>
      </c>
      <c r="F159" s="121">
        <v>2023</v>
      </c>
      <c r="G159" s="123">
        <f>'Parameters | Agora'!$B$4*0.0000852349828359926</f>
        <v>5.066878789668416</v>
      </c>
      <c r="H159" s="123">
        <f>'Parameters | Agora'!$B$4*2.59532051350803E-06</f>
        <v>0.15428142324599836</v>
      </c>
      <c r="I159" s="123">
        <f>'Parameters | Agora'!$B$4*9.4260365866935E-07</f>
        <v>5.6034017093258184E-2</v>
      </c>
      <c r="J159" s="123">
        <f>'Parameters | Agora'!$B$4*8.63343994036925E-08</f>
        <v>5.1322347069519044E-3</v>
      </c>
      <c r="K159" s="123">
        <f>'Parameters | Agora'!$B$4*2.26903761602123E-07</f>
        <v>1.3488521012199804E-2</v>
      </c>
      <c r="L159" s="123">
        <f>'Parameters | Agora'!$B$4*7.28231373129231E-06</f>
        <v>0.43290442207040264</v>
      </c>
      <c r="M159" s="123">
        <f>'Parameters | Agora'!$B$4*0.0000259720484404487</f>
        <v>1.5439343915909134</v>
      </c>
      <c r="N159" s="123">
        <f>'Parameters | Agora'!$B$4*4.48944526125399E-07</f>
        <v>2.6687956300050469E-2</v>
      </c>
      <c r="O159" s="123">
        <f>'Parameters | Agora'!$B$4*0</f>
        <v>0</v>
      </c>
      <c r="P159" s="123">
        <f>'Parameters | Agora'!$B$4*0</f>
        <v>0</v>
      </c>
      <c r="Q159" s="123">
        <f>'Parameters | Agora'!$B$4*0.00000332</f>
        <v>0.19736071999999999</v>
      </c>
      <c r="R159" s="123">
        <f>'Parameters | Agora'!$B$4*0.000000228</f>
        <v>1.3553688E-2</v>
      </c>
      <c r="S159" s="123">
        <f>'Parameters | Agora'!$B$4*0.000000010795</f>
        <v>6.4171957000000001E-4</v>
      </c>
      <c r="T159" s="123">
        <f>'Parameters | Agora'!$B$4*1.92274252275284E-06</f>
        <v>0.11429935200756533</v>
      </c>
      <c r="U159" s="123">
        <f>'Parameters | Agora'!$B$4*4.10969419368879E-06</f>
        <v>0.24430488103802378</v>
      </c>
      <c r="V159" s="123">
        <f>'Parameters | Agora'!$B$4*4.10969419368879E-06</f>
        <v>0.24430488103802378</v>
      </c>
      <c r="W159" s="123">
        <f>'Parameters | Agora'!$B$4*3.88785344054027E-06</f>
        <v>0.23111733562635689</v>
      </c>
      <c r="X159" s="123">
        <f>'Parameters | Agora'!$B$4*0.000531</f>
        <v>31.565826000000001</v>
      </c>
      <c r="Y159" s="123">
        <f>'Parameters | Agora'!$B$4*0.000639635562446246</f>
        <v>38.023775645179541</v>
      </c>
      <c r="Z159" s="123">
        <f>'Parameters | Agora'!$B$4*0.000572360827858637</f>
        <v>34.024561772884532</v>
      </c>
      <c r="AA159" s="123">
        <f>'Parameters | Agora'!$B$4*0.000684835774747295</f>
        <v>40.710747465627698</v>
      </c>
      <c r="AB159" s="123">
        <f>'Parameters | Agora'!$B$4*0.00000091</f>
        <v>5.4095859999999996E-2</v>
      </c>
      <c r="AC159" s="123">
        <f>'Parameters | Agora'!$B$4*0.0000753316968898398</f>
        <v>4.4781680533134161</v>
      </c>
      <c r="AD159" s="123">
        <f>'Parameters | Agora'!$B$4*1.53231243455956E-07</f>
        <v>9.1089844984827608E-3</v>
      </c>
      <c r="AE159" s="123">
        <f>'Parameters | Agora'!$B$4*1.53231243455956E-07</f>
        <v>9.1089844984827608E-3</v>
      </c>
      <c r="AF159" s="123">
        <f>'Parameters | Agora'!$B$4*0.000281365323992451</f>
        <v>16.726043050055242</v>
      </c>
      <c r="AG159" s="123">
        <f>'Parameters | Agora'!$B$4*1.68622084544075E-06</f>
        <v>0.10023908437807082</v>
      </c>
      <c r="AH159" s="123">
        <f>'Parameters | Agora'!$B$4*2.39511879930094E-06</f>
        <v>0.14238023214324369</v>
      </c>
      <c r="AI159" s="123">
        <f>'Parameters | Agora'!$B$4*1.41129135033981E-08</f>
        <v>8.3895625612300342E-4</v>
      </c>
      <c r="AJ159" s="123">
        <f>'Parameters | Agora'!$B$4*0.0000000142416354437</f>
        <v>8.4660826058619021E-4</v>
      </c>
    </row>
    <row r="160" spans="1:36">
      <c r="A160" s="120" t="s">
        <v>626</v>
      </c>
      <c r="B160" s="120" t="s">
        <v>627</v>
      </c>
      <c r="C160" s="120" t="s">
        <v>119</v>
      </c>
      <c r="D160" s="120" t="s">
        <v>325</v>
      </c>
      <c r="E160" s="120" t="s">
        <v>316</v>
      </c>
      <c r="F160" s="121">
        <v>2023</v>
      </c>
      <c r="G160" s="123">
        <f>'Parameters | Agora'!$B$4*0.000120031271688668</f>
        <v>7.1353789768045575</v>
      </c>
      <c r="H160" s="123">
        <f>'Parameters | Agora'!$B$4*2.59532051350803E-06</f>
        <v>0.15428142324599836</v>
      </c>
      <c r="I160" s="123">
        <f>'Parameters | Agora'!$B$4*8.71856923130965E-07</f>
        <v>5.182840665244335E-2</v>
      </c>
      <c r="J160" s="123">
        <f>'Parameters | Agora'!$B$4*2.24299408328451E-07</f>
        <v>1.3333702627493097E-2</v>
      </c>
      <c r="K160" s="123">
        <f>'Parameters | Agora'!$B$4*2.09873591745376E-07</f>
        <v>1.2476145534895622E-2</v>
      </c>
      <c r="L160" s="123">
        <f>'Parameters | Agora'!$B$4*7.28231373129231E-06</f>
        <v>0.43290442207040264</v>
      </c>
      <c r="M160" s="123">
        <f>'Parameters | Agora'!$B$4*0.000167442455594535</f>
        <v>9.9537842152727283</v>
      </c>
      <c r="N160" s="123">
        <f>'Parameters | Agora'!$B$4*0.0000835793963813428</f>
        <v>4.9684607972853039</v>
      </c>
      <c r="O160" s="123">
        <f>'Parameters | Agora'!$B$4*0</f>
        <v>0</v>
      </c>
      <c r="P160" s="123">
        <f>'Parameters | Agora'!$B$4*0.00047081102523464</f>
        <v>27.98783220609841</v>
      </c>
      <c r="Q160" s="123">
        <f>'Parameters | Agora'!$B$4*0.00000332</f>
        <v>0.19736071999999999</v>
      </c>
      <c r="R160" s="123">
        <f>'Parameters | Agora'!$B$4*0.000000228</f>
        <v>1.3553688E-2</v>
      </c>
      <c r="S160" s="123">
        <f>'Parameters | Agora'!$B$4*0.000000010795</f>
        <v>6.4171957000000001E-4</v>
      </c>
      <c r="T160" s="123">
        <f>'Parameters | Agora'!$B$4*1.19488073749365E-06</f>
        <v>7.1030880321047526E-2</v>
      </c>
      <c r="U160" s="123">
        <f>'Parameters | Agora'!$B$4*2.52569452328592E-06</f>
        <v>0.15014243663125482</v>
      </c>
      <c r="V160" s="123">
        <f>'Parameters | Agora'!$B$4*2.52569452328592E-06</f>
        <v>0.15014243663125482</v>
      </c>
      <c r="W160" s="123">
        <f>'Parameters | Agora'!$B$4*3.88785344054027E-06</f>
        <v>0.23111733562635689</v>
      </c>
      <c r="X160" s="123">
        <f>'Parameters | Agora'!$B$4*0.000531</f>
        <v>31.565826000000001</v>
      </c>
      <c r="Y160" s="123">
        <f>'Parameters | Agora'!$B$4*0.000934845739004337</f>
        <v>55.572839800851817</v>
      </c>
      <c r="Z160" s="123">
        <f>'Parameters | Agora'!$B$4*0.000916235671207303</f>
        <v>54.466545710589337</v>
      </c>
      <c r="AA160" s="123">
        <f>'Parameters | Agora'!$B$4*0.000988814935615735</f>
        <v>58.781092662612984</v>
      </c>
      <c r="AB160" s="123">
        <f>'Parameters | Agora'!$B$4*0.00000091</f>
        <v>5.4095859999999996E-2</v>
      </c>
      <c r="AC160" s="123">
        <f>'Parameters | Agora'!$B$4*0.000106085072998154</f>
        <v>6.3063332494482625</v>
      </c>
      <c r="AD160" s="123">
        <f>'Parameters | Agora'!$B$4*8.34389609397483E-07</f>
        <v>4.9601124720242779E-2</v>
      </c>
      <c r="AE160" s="123">
        <f>'Parameters | Agora'!$B$4*8.34389609397483E-07</f>
        <v>4.9601124720242779E-2</v>
      </c>
      <c r="AF160" s="123">
        <f>'Parameters | Agora'!$B$4*0.000281365323992451</f>
        <v>16.726043050055242</v>
      </c>
      <c r="AG160" s="123">
        <f>'Parameters | Agora'!$B$4*1.01556312259275E-06</f>
        <v>6.0371165385648615E-2</v>
      </c>
      <c r="AH160" s="123">
        <f>'Parameters | Agora'!$B$4*1.50012516226041E-06</f>
        <v>8.9176440395732332E-2</v>
      </c>
      <c r="AI160" s="123">
        <f>'Parameters | Agora'!$B$4*4.80883564331829E-09</f>
        <v>2.8586604365269904E-4</v>
      </c>
      <c r="AJ160" s="123">
        <f>'Parameters | Agora'!$B$4*5.19740278944562E-09</f>
        <v>3.0896480622138431E-4</v>
      </c>
    </row>
    <row r="161" spans="1:36">
      <c r="A161" s="120" t="s">
        <v>628</v>
      </c>
      <c r="B161" s="120" t="s">
        <v>629</v>
      </c>
      <c r="C161" s="120" t="s">
        <v>115</v>
      </c>
      <c r="D161" s="120" t="s">
        <v>121</v>
      </c>
      <c r="E161" s="120" t="s">
        <v>316</v>
      </c>
      <c r="F161" s="121">
        <v>2023</v>
      </c>
      <c r="G161" s="123">
        <f>'Parameters | Agora'!$B$4*0.0000104127785919111</f>
        <v>0.61899803617474725</v>
      </c>
      <c r="H161" s="123">
        <f>'Parameters | Agora'!$B$4*2.59532051350803E-06</f>
        <v>0.15428142324599836</v>
      </c>
      <c r="I161" s="123">
        <f>'Parameters | Agora'!$B$4*1.39980322164315E-06</f>
        <v>8.3212702313798695E-2</v>
      </c>
      <c r="J161" s="123">
        <f>'Parameters | Agora'!$B$4*4.88936917779182E-08</f>
        <v>2.9065344014301254E-3</v>
      </c>
      <c r="K161" s="123">
        <f>'Parameters | Agora'!$B$4*3.36960941719639E-07</f>
        <v>2.0030980141465659E-2</v>
      </c>
      <c r="L161" s="123">
        <f>'Parameters | Agora'!$B$4*7.28231373129231E-06</f>
        <v>0.43290442207040264</v>
      </c>
      <c r="M161" s="123">
        <f>'Parameters | Agora'!$B$4*0.0000544294618053826</f>
        <v>3.2356137864827739</v>
      </c>
      <c r="N161" s="123">
        <f>'Parameters | Agora'!$B$4*2.35303311269016E-06</f>
        <v>0.13987840641697924</v>
      </c>
      <c r="O161" s="123">
        <f>'Parameters | Agora'!$B$4*0.000011622429727761</f>
        <v>0.69090695759648035</v>
      </c>
      <c r="P161" s="123">
        <f>'Parameters | Agora'!$B$4*7.98228788862515E-07</f>
        <v>4.7451508582721062E-2</v>
      </c>
      <c r="Q161" s="123">
        <f>'Parameters | Agora'!$B$4*0.00000332</f>
        <v>0.19736071999999999</v>
      </c>
      <c r="R161" s="123">
        <f>'Parameters | Agora'!$B$4*0.000000228</f>
        <v>1.3553688E-2</v>
      </c>
      <c r="S161" s="123">
        <f>'Parameters | Agora'!$B$4*0.000000010795</f>
        <v>6.4171957000000001E-4</v>
      </c>
      <c r="T161" s="123">
        <f>'Parameters | Agora'!$B$4*0.0000013429012628823</f>
        <v>7.9830108473301201E-2</v>
      </c>
      <c r="U161" s="123">
        <f>'Parameters | Agora'!$B$4*9.58464188130652E-07</f>
        <v>5.6976862127614741E-2</v>
      </c>
      <c r="V161" s="123">
        <f>'Parameters | Agora'!$B$4*9.58464188130652E-07</f>
        <v>5.6976862127614741E-2</v>
      </c>
      <c r="W161" s="123">
        <f>'Parameters | Agora'!$B$4*3.88785344054027E-06</f>
        <v>0.23111733562635689</v>
      </c>
      <c r="X161" s="123">
        <f>'Parameters | Agora'!$B$4*0.000531</f>
        <v>31.565826000000001</v>
      </c>
      <c r="Y161" s="123">
        <f>'Parameters | Agora'!$B$4*0.000267237775868022</f>
        <v>15.886216824250434</v>
      </c>
      <c r="Z161" s="123">
        <f>'Parameters | Agora'!$B$4*0.000238989487479288</f>
        <v>14.206969072693754</v>
      </c>
      <c r="AA161" s="123">
        <f>'Parameters | Agora'!$B$4*0.000286966739187138</f>
        <v>17.059024777718605</v>
      </c>
      <c r="AB161" s="123">
        <f>'Parameters | Agora'!$B$4*0.00000091</f>
        <v>5.4095859999999996E-2</v>
      </c>
      <c r="AC161" s="123">
        <f>'Parameters | Agora'!$B$4*9.20293821348224E-06</f>
        <v>0.54707786503866529</v>
      </c>
      <c r="AD161" s="123">
        <f>'Parameters | Agora'!$B$4*6.98309762480568E-06</f>
        <v>0.41511722140419843</v>
      </c>
      <c r="AE161" s="123">
        <f>'Parameters | Agora'!$B$4*6.98309762480568E-06</f>
        <v>0.41511722140419843</v>
      </c>
      <c r="AF161" s="123">
        <f>'Parameters | Agora'!$B$4*0.000281365323992451</f>
        <v>16.726043050055242</v>
      </c>
      <c r="AG161" s="123">
        <f>'Parameters | Agora'!$B$4*8.58833386941721E-07</f>
        <v>5.1054209520137547E-2</v>
      </c>
      <c r="AH161" s="123">
        <f>'Parameters | Agora'!$B$4*2.66007008157727E-10</f>
        <v>1.5813052606944238E-5</v>
      </c>
      <c r="AI161" s="123">
        <f>'Parameters | Agora'!$B$4*9.44982928872587E-08</f>
        <v>5.6175455189759809E-3</v>
      </c>
      <c r="AJ161" s="123">
        <f>'Parameters | Agora'!$B$4*4.86650129351432E-09</f>
        <v>2.8929403589425225E-4</v>
      </c>
    </row>
    <row r="162" spans="1:36">
      <c r="A162" s="120" t="s">
        <v>630</v>
      </c>
      <c r="B162" s="120" t="s">
        <v>631</v>
      </c>
      <c r="C162" s="120" t="s">
        <v>115</v>
      </c>
      <c r="D162" s="120" t="s">
        <v>121</v>
      </c>
      <c r="E162" s="120" t="s">
        <v>316</v>
      </c>
      <c r="F162" s="121">
        <v>2023</v>
      </c>
      <c r="G162" s="123">
        <f>'Parameters | Agora'!$B$4*8.98594890130282E-07</f>
        <v>5.3417871838684745E-2</v>
      </c>
      <c r="H162" s="123">
        <f>'Parameters | Agora'!$B$4*2.59532051350803E-06</f>
        <v>0.15428142324599836</v>
      </c>
      <c r="I162" s="123">
        <f>'Parameters | Agora'!$B$4*8.71951712222883E-07</f>
        <v>5.1834041484801502E-2</v>
      </c>
      <c r="J162" s="123">
        <f>'Parameters | Agora'!$B$4*4.88936917779182E-08</f>
        <v>2.9065344014301254E-3</v>
      </c>
      <c r="K162" s="123">
        <f>'Parameters | Agora'!$B$4*2.09896409396589E-07</f>
        <v>1.247750195298963E-2</v>
      </c>
      <c r="L162" s="123">
        <f>'Parameters | Agora'!$B$4*7.28231373129231E-06</f>
        <v>0.43290442207040264</v>
      </c>
      <c r="M162" s="123">
        <f>'Parameters | Agora'!$B$4*0.0000905729147525543</f>
        <v>5.3841974903803429</v>
      </c>
      <c r="N162" s="123">
        <f>'Parameters | Agora'!$B$4*0.0000906690541878044</f>
        <v>5.3899125952482203</v>
      </c>
      <c r="O162" s="123">
        <f>'Parameters | Agora'!$B$4*0</f>
        <v>0</v>
      </c>
      <c r="P162" s="123">
        <f>'Parameters | Agora'!$B$4*0</f>
        <v>0</v>
      </c>
      <c r="Q162" s="123">
        <f>'Parameters | Agora'!$B$4*0.00000332</f>
        <v>0.19736071999999999</v>
      </c>
      <c r="R162" s="123">
        <f>'Parameters | Agora'!$B$4*0.000000228</f>
        <v>1.3553688E-2</v>
      </c>
      <c r="S162" s="123">
        <f>'Parameters | Agora'!$B$4*0.000000010795</f>
        <v>6.4171957000000001E-4</v>
      </c>
      <c r="T162" s="123">
        <f>'Parameters | Agora'!$B$4*1.52929452799407E-06</f>
        <v>9.0910442511135489E-2</v>
      </c>
      <c r="U162" s="123">
        <f>'Parameters | Agora'!$B$4*2.84419976118335E-06</f>
        <v>0.16907629900330542</v>
      </c>
      <c r="V162" s="123">
        <f>'Parameters | Agora'!$B$4*2.84419976118335E-06</f>
        <v>0.16907629900330542</v>
      </c>
      <c r="W162" s="123">
        <f>'Parameters | Agora'!$B$4*3.88785344054027E-06</f>
        <v>0.23111733562635689</v>
      </c>
      <c r="X162" s="123">
        <f>'Parameters | Agora'!$B$4*0.000531</f>
        <v>31.565826000000001</v>
      </c>
      <c r="Y162" s="123">
        <f>'Parameters | Agora'!$B$4*0.000328858136808464</f>
        <v>19.549300800715951</v>
      </c>
      <c r="Z162" s="123">
        <f>'Parameters | Agora'!$B$4*0.000285596977228309</f>
        <v>16.977597908314056</v>
      </c>
      <c r="AA162" s="123">
        <f>'Parameters | Agora'!$B$4*0.00033912349670884</f>
        <v>20.159535385353703</v>
      </c>
      <c r="AB162" s="123">
        <f>'Parameters | Agora'!$B$4*0.00000091</f>
        <v>5.4095859999999996E-2</v>
      </c>
      <c r="AC162" s="123">
        <f>'Parameters | Agora'!$B$4*7.94188907391536E-07</f>
        <v>4.7211353788797247E-2</v>
      </c>
      <c r="AD162" s="123">
        <f>'Parameters | Agora'!$B$4*4.40751177919771E-07</f>
        <v>2.6200894522618708E-2</v>
      </c>
      <c r="AE162" s="123">
        <f>'Parameters | Agora'!$B$4*4.40751177919771E-07</f>
        <v>2.6200894522618708E-2</v>
      </c>
      <c r="AF162" s="123">
        <f>'Parameters | Agora'!$B$4*0.000281365323992451</f>
        <v>16.726043050055242</v>
      </c>
      <c r="AG162" s="123">
        <f>'Parameters | Agora'!$B$4*1.24433729355906E-06</f>
        <v>7.3970874752911878E-2</v>
      </c>
      <c r="AH162" s="123">
        <f>'Parameters | Agora'!$B$4*1.55125396650998E-06</f>
        <v>9.2215843293152272E-2</v>
      </c>
      <c r="AI162" s="123">
        <f>'Parameters | Agora'!$B$4*4.32069341054777E-08</f>
        <v>2.5684794048342276E-3</v>
      </c>
      <c r="AJ162" s="123">
        <f>'Parameters | Agora'!$B$4*5.4015670088229E-09</f>
        <v>3.2110155240648607E-4</v>
      </c>
    </row>
    <row r="163" spans="1:36">
      <c r="A163" s="120" t="s">
        <v>632</v>
      </c>
      <c r="B163" s="120" t="s">
        <v>633</v>
      </c>
      <c r="C163" s="120" t="s">
        <v>117</v>
      </c>
      <c r="D163" s="120" t="s">
        <v>319</v>
      </c>
      <c r="E163" s="120" t="s">
        <v>316</v>
      </c>
      <c r="F163" s="121">
        <v>2023</v>
      </c>
      <c r="G163" s="123">
        <f>'Parameters | Agora'!$B$4*0.000214105822689411</f>
        <v>12.727734735594726</v>
      </c>
      <c r="H163" s="123">
        <f>'Parameters | Agora'!$B$4*2.59532051350803E-06</f>
        <v>0.15428142324599836</v>
      </c>
      <c r="I163" s="123">
        <f>'Parameters | Agora'!$B$4*1.55517509035971E-06</f>
        <v>9.2448938421523311E-2</v>
      </c>
      <c r="J163" s="123">
        <f>'Parameters | Agora'!$B$4*1.25062212908419E-07</f>
        <v>7.4344483085538758E-3</v>
      </c>
      <c r="K163" s="123">
        <f>'Parameters | Agora'!$B$4*3.74362092388528E-07</f>
        <v>2.2254328944128435E-2</v>
      </c>
      <c r="L163" s="123">
        <f>'Parameters | Agora'!$B$4*7.28231373129231E-06</f>
        <v>0.43290442207040264</v>
      </c>
      <c r="M163" s="123">
        <f>'Parameters | Agora'!$B$4*0.000327625414914989</f>
        <v>19.476020415036434</v>
      </c>
      <c r="N163" s="123">
        <f>'Parameters | Agora'!$B$4*0.000146995017093499</f>
        <v>8.7382657861401416</v>
      </c>
      <c r="O163" s="123">
        <f>'Parameters | Agora'!$B$4*0.000106186885883838</f>
        <v>6.3123856182506337</v>
      </c>
      <c r="P163" s="123">
        <f>'Parameters | Agora'!$B$4*0.000334531613656815</f>
        <v>19.886566305443022</v>
      </c>
      <c r="Q163" s="123">
        <f>'Parameters | Agora'!$B$4*0.00000332</f>
        <v>0.19736071999999999</v>
      </c>
      <c r="R163" s="123">
        <f>'Parameters | Agora'!$B$4*0.000000228</f>
        <v>1.3553688E-2</v>
      </c>
      <c r="S163" s="123">
        <f>'Parameters | Agora'!$B$4*0.000000010795</f>
        <v>6.4171957000000001E-4</v>
      </c>
      <c r="T163" s="123">
        <f>'Parameters | Agora'!$B$4*3.80555448403926E-07</f>
        <v>2.2622499185819784E-2</v>
      </c>
      <c r="U163" s="123">
        <f>'Parameters | Agora'!$B$4*2.09362114125346E-07</f>
        <v>1.2445740236295319E-2</v>
      </c>
      <c r="V163" s="123">
        <f>'Parameters | Agora'!$B$4*2.09362114125346E-07</f>
        <v>1.2445740236295319E-2</v>
      </c>
      <c r="W163" s="123">
        <f>'Parameters | Agora'!$B$4*3.88785344054027E-06</f>
        <v>0.23111733562635689</v>
      </c>
      <c r="X163" s="123">
        <f>'Parameters | Agora'!$B$4*0.000531</f>
        <v>31.565826000000001</v>
      </c>
      <c r="Y163" s="123">
        <f>'Parameters | Agora'!$B$4*0.000965655919474558</f>
        <v>57.404381789084574</v>
      </c>
      <c r="Z163" s="123">
        <f>'Parameters | Agora'!$B$4*0.000956437247212271</f>
        <v>56.856368597780666</v>
      </c>
      <c r="AA163" s="123">
        <f>'Parameters | Agora'!$B$4*0.000972185812327011</f>
        <v>57.792557799591492</v>
      </c>
      <c r="AB163" s="123">
        <f>'Parameters | Agora'!$B$4*0.00000091</f>
        <v>5.4095859999999996E-2</v>
      </c>
      <c r="AC163" s="123">
        <f>'Parameters | Agora'!$B$4*0.000189229285916835</f>
        <v>11.248924130612174</v>
      </c>
      <c r="AD163" s="123">
        <f>'Parameters | Agora'!$B$4*4.17534436603329E-06</f>
        <v>0.24820752118321496</v>
      </c>
      <c r="AE163" s="123">
        <f>'Parameters | Agora'!$B$4*4.17534436603329E-06</f>
        <v>0.24820752118321496</v>
      </c>
      <c r="AF163" s="123">
        <f>'Parameters | Agora'!$B$4*0.000281365323992451</f>
        <v>16.726043050055242</v>
      </c>
      <c r="AG163" s="123">
        <f>'Parameters | Agora'!$B$4*1.17996111578434E-07</f>
        <v>7.0143968488915872E-3</v>
      </c>
      <c r="AH163" s="123">
        <f>'Parameters | Agora'!$B$4*7.87942279961546E-08</f>
        <v>4.6840016774594056E-3</v>
      </c>
      <c r="AI163" s="123">
        <f>'Parameters | Agora'!$B$4*9.96129078484668E-09</f>
        <v>5.921588919959958E-4</v>
      </c>
      <c r="AJ163" s="123">
        <f>'Parameters | Agora'!$B$4*2.6104837659107E-09</f>
        <v>1.551828179483275E-4</v>
      </c>
    </row>
    <row r="164" spans="1:36">
      <c r="A164" s="120" t="s">
        <v>634</v>
      </c>
      <c r="B164" s="120" t="s">
        <v>635</v>
      </c>
      <c r="C164" s="120" t="s">
        <v>114</v>
      </c>
      <c r="D164" s="120" t="s">
        <v>121</v>
      </c>
      <c r="E164" s="120" t="s">
        <v>316</v>
      </c>
      <c r="F164" s="121">
        <v>2023</v>
      </c>
      <c r="G164" s="123">
        <f>'Parameters | Agora'!$B$4*0.000013049587743725</f>
        <v>0.77574579301347635</v>
      </c>
      <c r="H164" s="123">
        <f>'Parameters | Agora'!$B$4*2.59532051350803E-06</f>
        <v>0.15428142324599836</v>
      </c>
      <c r="I164" s="123">
        <f>'Parameters | Agora'!$B$4*0.0000014218506795919</f>
        <v>8.4523335499020094E-2</v>
      </c>
      <c r="J164" s="123">
        <f>'Parameters | Agora'!$B$4*8.62473484142803E-08</f>
        <v>5.1270598738353068E-3</v>
      </c>
      <c r="K164" s="123">
        <f>'Parameters | Agora'!$B$4*3.42268210682926E-07</f>
        <v>2.0346476052257218E-2</v>
      </c>
      <c r="L164" s="123">
        <f>'Parameters | Agora'!$B$4*7.28231373129231E-06</f>
        <v>0.43290442207040264</v>
      </c>
      <c r="M164" s="123">
        <f>'Parameters | Agora'!$B$4*0.000127069957930268</f>
        <v>7.5538007191227123</v>
      </c>
      <c r="N164" s="123">
        <f>'Parameters | Agora'!$B$4*0.0000754437708540652</f>
        <v>4.4848304021907603</v>
      </c>
      <c r="O164" s="123">
        <f>'Parameters | Agora'!$B$4*0.0000533974772738579</f>
        <v>3.1742664340217566</v>
      </c>
      <c r="P164" s="123">
        <f>'Parameters | Agora'!$B$4*0.0000555382981150653</f>
        <v>3.3015296697481715</v>
      </c>
      <c r="Q164" s="123">
        <f>'Parameters | Agora'!$B$4*0.00000332</f>
        <v>0.19736071999999999</v>
      </c>
      <c r="R164" s="123">
        <f>'Parameters | Agora'!$B$4*0.000000228</f>
        <v>1.3553688E-2</v>
      </c>
      <c r="S164" s="123">
        <f>'Parameters | Agora'!$B$4*0.000000010795</f>
        <v>6.4171957000000001E-4</v>
      </c>
      <c r="T164" s="123">
        <f>'Parameters | Agora'!$B$4*2.90551814470862E-06</f>
        <v>0.17272143163034862</v>
      </c>
      <c r="U164" s="123">
        <f>'Parameters | Agora'!$B$4*7.31491938070788E-06</f>
        <v>0.43484269750556065</v>
      </c>
      <c r="V164" s="123">
        <f>'Parameters | Agora'!$B$4*7.31491938070788E-06</f>
        <v>0.43484269750556065</v>
      </c>
      <c r="W164" s="123">
        <f>'Parameters | Agora'!$B$4*3.88785344054027E-06</f>
        <v>0.23111733562635689</v>
      </c>
      <c r="X164" s="123">
        <f>'Parameters | Agora'!$B$4*0.000531</f>
        <v>31.565826000000001</v>
      </c>
      <c r="Y164" s="123">
        <f>'Parameters | Agora'!$B$4*0.000362784083649546</f>
        <v>21.56606263663091</v>
      </c>
      <c r="Z164" s="123">
        <f>'Parameters | Agora'!$B$4*0.000322990701520517</f>
        <v>19.200505242588655</v>
      </c>
      <c r="AA164" s="123">
        <f>'Parameters | Agora'!$B$4*0.000365588881026829</f>
        <v>21.732796621520876</v>
      </c>
      <c r="AB164" s="123">
        <f>'Parameters | Agora'!$B$4*0.00000091</f>
        <v>5.4095859999999996E-2</v>
      </c>
      <c r="AC164" s="123">
        <f>'Parameters | Agora'!$B$4*0.0000115333816672342</f>
        <v>0.68561340659040426</v>
      </c>
      <c r="AD164" s="123">
        <f>'Parameters | Agora'!$B$4*3.76072414315637E-06</f>
        <v>0.22356000741407359</v>
      </c>
      <c r="AE164" s="123">
        <f>'Parameters | Agora'!$B$4*3.76072414315637E-06</f>
        <v>0.22356000741407359</v>
      </c>
      <c r="AF164" s="123">
        <f>'Parameters | Agora'!$B$4*0.000281365323992451</f>
        <v>16.726043050055242</v>
      </c>
      <c r="AG164" s="123">
        <f>'Parameters | Agora'!$B$4*2.16674709593004E-06</f>
        <v>0.12880444786465714</v>
      </c>
      <c r="AH164" s="123">
        <f>'Parameters | Agora'!$B$4*0.0000049471547328837</f>
        <v>0.29408856025100444</v>
      </c>
      <c r="AI164" s="123">
        <f>'Parameters | Agora'!$B$4*1.85858160633438E-07</f>
        <v>1.1048524217015354E-2</v>
      </c>
      <c r="AJ164" s="123">
        <f>'Parameters | Agora'!$B$4*1.5159391260691E-08</f>
        <v>9.0116517288303709E-4</v>
      </c>
    </row>
    <row r="165" spans="1:36">
      <c r="A165" s="120" t="s">
        <v>636</v>
      </c>
      <c r="B165" s="120" t="s">
        <v>637</v>
      </c>
      <c r="C165" s="120" t="s">
        <v>115</v>
      </c>
      <c r="D165" s="120" t="s">
        <v>325</v>
      </c>
      <c r="E165" s="120" t="s">
        <v>316</v>
      </c>
      <c r="F165" s="121">
        <v>2023</v>
      </c>
      <c r="G165" s="123">
        <f>'Parameters | Agora'!$B$4*0.000157978631102917</f>
        <v>9.3911977045440036</v>
      </c>
      <c r="H165" s="123">
        <f>'Parameters | Agora'!$B$4*2.59532051350803E-06</f>
        <v>0.15428142324599836</v>
      </c>
      <c r="I165" s="123">
        <f>'Parameters | Agora'!$B$4*1.14749066052622E-06</f>
        <v>6.8213729805641679E-2</v>
      </c>
      <c r="J165" s="123">
        <f>'Parameters | Agora'!$B$4*4.88936917779182E-08</f>
        <v>2.9065344014301254E-3</v>
      </c>
      <c r="K165" s="123">
        <f>'Parameters | Agora'!$B$4*2.7622420609343E-07</f>
        <v>1.642042415543004E-2</v>
      </c>
      <c r="L165" s="123">
        <f>'Parameters | Agora'!$B$4*7.28231373129231E-06</f>
        <v>0.43290442207040264</v>
      </c>
      <c r="M165" s="123">
        <f>'Parameters | Agora'!$B$4*0.0000685502595263088</f>
        <v>4.075038727800953</v>
      </c>
      <c r="N165" s="123">
        <f>'Parameters | Agora'!$B$4*0.0000441971501481411</f>
        <v>2.6273437877063959</v>
      </c>
      <c r="O165" s="123">
        <f>'Parameters | Agora'!$B$4*4.63254320412892E-06</f>
        <v>0.27538616331264776</v>
      </c>
      <c r="P165" s="123">
        <f>'Parameters | Agora'!$B$4*8.37675942897248E-06</f>
        <v>0.49796484101469801</v>
      </c>
      <c r="Q165" s="123">
        <f>'Parameters | Agora'!$B$4*0.00000332</f>
        <v>0.19736071999999999</v>
      </c>
      <c r="R165" s="123">
        <f>'Parameters | Agora'!$B$4*0.000000228</f>
        <v>1.3553688E-2</v>
      </c>
      <c r="S165" s="123">
        <f>'Parameters | Agora'!$B$4*0.000000010795</f>
        <v>6.4171957000000001E-4</v>
      </c>
      <c r="T165" s="123">
        <f>'Parameters | Agora'!$B$4*1.81929894304575E-06</f>
        <v>0.10815004496829765</v>
      </c>
      <c r="U165" s="123">
        <f>'Parameters | Agora'!$B$4*1.55012764868491E-06</f>
        <v>9.2148888203723148E-2</v>
      </c>
      <c r="V165" s="123">
        <f>'Parameters | Agora'!$B$4*1.55012764868491E-06</f>
        <v>9.2148888203723148E-2</v>
      </c>
      <c r="W165" s="123">
        <f>'Parameters | Agora'!$B$4*3.88785344054027E-06</f>
        <v>0.23111733562635689</v>
      </c>
      <c r="X165" s="123">
        <f>'Parameters | Agora'!$B$4*0.000531</f>
        <v>31.565826000000001</v>
      </c>
      <c r="Y165" s="123">
        <f>'Parameters | Agora'!$B$4*0.00164510147826522</f>
        <v>97.794702476954257</v>
      </c>
      <c r="Z165" s="123">
        <f>'Parameters | Agora'!$B$4*0.0015509642641315</f>
        <v>92.198621645561147</v>
      </c>
      <c r="AA165" s="123">
        <f>'Parameters | Agora'!$B$4*0.0017416917794122</f>
        <v>103.53660951893764</v>
      </c>
      <c r="AB165" s="123">
        <f>'Parameters | Agora'!$B$4*0.00000091</f>
        <v>5.4095859999999996E-2</v>
      </c>
      <c r="AC165" s="123">
        <f>'Parameters | Agora'!$B$4*0.000139623402942616</f>
        <v>8.3000528113267507</v>
      </c>
      <c r="AD165" s="123">
        <f>'Parameters | Agora'!$B$4*1.95121511347478E-06</f>
        <v>0.11599193363562177</v>
      </c>
      <c r="AE165" s="123">
        <f>'Parameters | Agora'!$B$4*1.95121511347478E-06</f>
        <v>0.11599193363562177</v>
      </c>
      <c r="AF165" s="123">
        <f>'Parameters | Agora'!$B$4*0.000281365323992451</f>
        <v>16.726043050055242</v>
      </c>
      <c r="AG165" s="123">
        <f>'Parameters | Agora'!$B$4*1.49775635075104E-06</f>
        <v>8.9035624026746321E-2</v>
      </c>
      <c r="AH165" s="123">
        <f>'Parameters | Agora'!$B$4*2.2404030243059E-13</f>
        <v>1.3318299818288853E-8</v>
      </c>
      <c r="AI165" s="123">
        <f>'Parameters | Agora'!$B$4*4.77857099296569E-08</f>
        <v>2.840669312478384E-3</v>
      </c>
      <c r="AJ165" s="123">
        <f>'Parameters | Agora'!$B$4*4.58536396391121E-09</f>
        <v>2.7258154619866576E-4</v>
      </c>
    </row>
    <row r="166" spans="1:36">
      <c r="A166" s="120" t="s">
        <v>638</v>
      </c>
      <c r="B166" s="120" t="s">
        <v>639</v>
      </c>
      <c r="C166" s="120" t="s">
        <v>119</v>
      </c>
      <c r="D166" s="120" t="s">
        <v>325</v>
      </c>
      <c r="E166" s="120" t="s">
        <v>316</v>
      </c>
      <c r="F166" s="121">
        <v>2023</v>
      </c>
      <c r="G166" s="123">
        <f>'Parameters | Agora'!$B$4*0.00015784429975284</f>
        <v>9.3832122431073266</v>
      </c>
      <c r="H166" s="123">
        <f>'Parameters | Agora'!$B$4*2.59532051350803E-06</f>
        <v>0.15428142324599836</v>
      </c>
      <c r="I166" s="123">
        <f>'Parameters | Agora'!$B$4*1.14651493381841E-06</f>
        <v>6.8155726755769197E-2</v>
      </c>
      <c r="J166" s="123">
        <f>'Parameters | Agora'!$B$4*2.24299408328451E-07</f>
        <v>1.3333702627493097E-2</v>
      </c>
      <c r="K166" s="123">
        <f>'Parameters | Agora'!$B$4*0.0000002759893289441</f>
        <v>1.6406461648410968E-2</v>
      </c>
      <c r="L166" s="123">
        <f>'Parameters | Agora'!$B$4*7.28231373129231E-06</f>
        <v>0.43290442207040264</v>
      </c>
      <c r="M166" s="123">
        <f>'Parameters | Agora'!$B$4*0</f>
        <v>0</v>
      </c>
      <c r="N166" s="123">
        <f>'Parameters | Agora'!$B$4*0.000175307194790582</f>
        <v>10.421311501520938</v>
      </c>
      <c r="O166" s="123">
        <f>'Parameters | Agora'!$B$4*0.00181240742187363</f>
        <v>107.74037160069982</v>
      </c>
      <c r="P166" s="123">
        <f>'Parameters | Agora'!$B$4*0.000231961419834869</f>
        <v>13.789178563503622</v>
      </c>
      <c r="Q166" s="123">
        <f>'Parameters | Agora'!$B$4*0.00000332</f>
        <v>0.19736071999999999</v>
      </c>
      <c r="R166" s="123">
        <f>'Parameters | Agora'!$B$4*0.000000228</f>
        <v>1.3553688E-2</v>
      </c>
      <c r="S166" s="123">
        <f>'Parameters | Agora'!$B$4*0.000000010795</f>
        <v>6.4171957000000001E-4</v>
      </c>
      <c r="T166" s="123">
        <f>'Parameters | Agora'!$B$4*1.16331803778269E-06</f>
        <v>6.9154604074029791E-2</v>
      </c>
      <c r="U166" s="123">
        <f>'Parameters | Agora'!$B$4*2.04269679060117E-06</f>
        <v>0.12143015341407716</v>
      </c>
      <c r="V166" s="123">
        <f>'Parameters | Agora'!$B$4*2.04269679060117E-06</f>
        <v>0.12143015341407716</v>
      </c>
      <c r="W166" s="123">
        <f>'Parameters | Agora'!$B$4*3.88785344054027E-06</f>
        <v>0.23111733562635689</v>
      </c>
      <c r="X166" s="123">
        <f>'Parameters | Agora'!$B$4*0.000531</f>
        <v>31.565826000000001</v>
      </c>
      <c r="Y166" s="123">
        <f>'Parameters | Agora'!$B$4*0.000445126028372403</f>
        <v>26.46096188262587</v>
      </c>
      <c r="Z166" s="123">
        <f>'Parameters | Agora'!$B$4*0.000419334220738846</f>
        <v>24.927742086041437</v>
      </c>
      <c r="AA166" s="123">
        <f>'Parameters | Agora'!$B$4*0.000467150493317913</f>
        <v>27.770228225776656</v>
      </c>
      <c r="AB166" s="123">
        <f>'Parameters | Agora'!$B$4*0.00000091</f>
        <v>5.4095859999999996E-2</v>
      </c>
      <c r="AC166" s="123">
        <f>'Parameters | Agora'!$B$4*0.000139504679289368</f>
        <v>8.2929951650357712</v>
      </c>
      <c r="AD166" s="123">
        <f>'Parameters | Agora'!$B$4*5.38574091628074E-07</f>
        <v>3.2016075450922492E-2</v>
      </c>
      <c r="AE166" s="123">
        <f>'Parameters | Agora'!$B$4*5.38574091628074E-07</f>
        <v>3.2016075450922492E-2</v>
      </c>
      <c r="AF166" s="123">
        <f>'Parameters | Agora'!$B$4*0.000281365323992451</f>
        <v>16.726043050055242</v>
      </c>
      <c r="AG166" s="123">
        <f>'Parameters | Agora'!$B$4*9.4041374942975E-07</f>
        <v>5.5903835748600923E-2</v>
      </c>
      <c r="AH166" s="123">
        <f>'Parameters | Agora'!$B$4*1.09086368202888E-06</f>
        <v>6.4847482441888801E-2</v>
      </c>
      <c r="AI166" s="123">
        <f>'Parameters | Agora'!$B$4*2.99664422508436E-09</f>
        <v>1.7813851260436485E-4</v>
      </c>
      <c r="AJ166" s="123">
        <f>'Parameters | Agora'!$B$4*8.42271491745626E-09</f>
        <v>5.0069671098310477E-4</v>
      </c>
    </row>
    <row r="167" spans="1:36">
      <c r="A167" s="120" t="s">
        <v>640</v>
      </c>
      <c r="B167" s="120" t="s">
        <v>641</v>
      </c>
      <c r="C167" s="120" t="s">
        <v>114</v>
      </c>
      <c r="D167" s="120" t="s">
        <v>322</v>
      </c>
      <c r="E167" s="120" t="s">
        <v>316</v>
      </c>
      <c r="F167" s="121">
        <v>2023</v>
      </c>
      <c r="G167" s="123">
        <f>'Parameters | Agora'!$B$4*0.0000568588312809316</f>
        <v>3.3800300843262598</v>
      </c>
      <c r="H167" s="123">
        <f>'Parameters | Agora'!$B$4*2.59532051350803E-06</f>
        <v>0.15428142324599836</v>
      </c>
      <c r="I167" s="123">
        <f>'Parameters | Agora'!$B$4*3.4152509956091E-07</f>
        <v>2.0302301068497855E-2</v>
      </c>
      <c r="J167" s="123">
        <f>'Parameters | Agora'!$B$4*8.62473484142803E-08</f>
        <v>5.1270598738353068E-3</v>
      </c>
      <c r="K167" s="123">
        <f>'Parameters | Agora'!$B$4*8.22119976505348E-08</f>
        <v>4.8871744123336917E-3</v>
      </c>
      <c r="L167" s="123">
        <f>'Parameters | Agora'!$B$4*7.28231373129231E-06</f>
        <v>0.43290442207040264</v>
      </c>
      <c r="M167" s="123">
        <f>'Parameters | Agora'!$B$4*0.0000749613042630661</f>
        <v>4.456149693222228</v>
      </c>
      <c r="N167" s="123">
        <f>'Parameters | Agora'!$B$4*0.000199295855003955</f>
        <v>11.84734139656511</v>
      </c>
      <c r="O167" s="123">
        <f>'Parameters | Agora'!$B$4*0.000099482978214715</f>
        <v>5.9138651229519477</v>
      </c>
      <c r="P167" s="123">
        <f>'Parameters | Agora'!$B$4*0.000369691043722063</f>
        <v>21.976653785101757</v>
      </c>
      <c r="Q167" s="123">
        <f>'Parameters | Agora'!$B$4*0.00000332</f>
        <v>0.19736071999999999</v>
      </c>
      <c r="R167" s="123">
        <f>'Parameters | Agora'!$B$4*0.000000228</f>
        <v>1.3553688E-2</v>
      </c>
      <c r="S167" s="123">
        <f>'Parameters | Agora'!$B$4*0.000000010795</f>
        <v>6.4171957000000001E-4</v>
      </c>
      <c r="T167" s="123">
        <f>'Parameters | Agora'!$B$4*7.47829901679265E-07</f>
        <v>4.4455496335225587E-2</v>
      </c>
      <c r="U167" s="123">
        <f>'Parameters | Agora'!$B$4*1.68706590794377E-06</f>
        <v>0.10028931996362535</v>
      </c>
      <c r="V167" s="123">
        <f>'Parameters | Agora'!$B$4*1.68706590794377E-06</f>
        <v>0.10028931996362535</v>
      </c>
      <c r="W167" s="123">
        <f>'Parameters | Agora'!$B$4*3.88785344054027E-06</f>
        <v>0.23111733562635689</v>
      </c>
      <c r="X167" s="123">
        <f>'Parameters | Agora'!$B$4*0.000531</f>
        <v>31.565826000000001</v>
      </c>
      <c r="Y167" s="123">
        <f>'Parameters | Agora'!$B$4*0.000764416793350641</f>
        <v>45.441520697522208</v>
      </c>
      <c r="Z167" s="123">
        <f>'Parameters | Agora'!$B$4*0.000740218534470223</f>
        <v>44.003031000116877</v>
      </c>
      <c r="AA167" s="123">
        <f>'Parameters | Agora'!$B$4*0.000790476456760322</f>
        <v>46.990663448574097</v>
      </c>
      <c r="AB167" s="123">
        <f>'Parameters | Agora'!$B$4*0.00000091</f>
        <v>5.4095859999999996E-2</v>
      </c>
      <c r="AC167" s="123">
        <f>'Parameters | Agora'!$B$4*0.0000502525148835598</f>
        <v>2.9873109997680958</v>
      </c>
      <c r="AD167" s="123">
        <f>'Parameters | Agora'!$B$4*6.08367805218414E-07</f>
        <v>3.6165032549013834E-2</v>
      </c>
      <c r="AE167" s="123">
        <f>'Parameters | Agora'!$B$4*6.08367805218414E-07</f>
        <v>3.6165032549013834E-2</v>
      </c>
      <c r="AF167" s="123">
        <f>'Parameters | Agora'!$B$4*0.000281365323992451</f>
        <v>16.726043050055242</v>
      </c>
      <c r="AG167" s="123">
        <f>'Parameters | Agora'!$B$4*5.28028180856953E-07</f>
        <v>3.1389163239222424E-2</v>
      </c>
      <c r="AH167" s="123">
        <f>'Parameters | Agora'!$B$4*1.09126768917045E-06</f>
        <v>6.4871499050426565E-2</v>
      </c>
      <c r="AI167" s="123">
        <f>'Parameters | Agora'!$B$4*6.38076565311439E-08</f>
        <v>3.7931099501503805E-3</v>
      </c>
      <c r="AJ167" s="123">
        <f>'Parameters | Agora'!$B$4*3.96238138522306E-09</f>
        <v>2.3554772382597004E-4</v>
      </c>
    </row>
    <row r="168" spans="1:36">
      <c r="A168" s="120" t="s">
        <v>642</v>
      </c>
      <c r="B168" s="120" t="s">
        <v>643</v>
      </c>
      <c r="C168" s="120" t="s">
        <v>114</v>
      </c>
      <c r="D168" s="120" t="s">
        <v>325</v>
      </c>
      <c r="E168" s="120" t="s">
        <v>316</v>
      </c>
      <c r="F168" s="121">
        <v>2023</v>
      </c>
      <c r="G168" s="123">
        <f>'Parameters | Agora'!$B$4*0.0000919186687917955</f>
        <v>5.464197184997075</v>
      </c>
      <c r="H168" s="123">
        <f>'Parameters | Agora'!$B$4*2.59532051350803E-06</f>
        <v>0.15428142324599836</v>
      </c>
      <c r="I168" s="123">
        <f>'Parameters | Agora'!$B$4*6.67658741123505E-07</f>
        <v>3.968964152482788E-2</v>
      </c>
      <c r="J168" s="123">
        <f>'Parameters | Agora'!$B$4*8.62473484142803E-08</f>
        <v>5.1270598738353068E-3</v>
      </c>
      <c r="K168" s="123">
        <f>'Parameters | Agora'!$B$4*1.60718960120866E-07</f>
        <v>9.5540993033450001E-3</v>
      </c>
      <c r="L168" s="123">
        <f>'Parameters | Agora'!$B$4*7.28231373129231E-06</f>
        <v>0.43290442207040264</v>
      </c>
      <c r="M168" s="123">
        <f>'Parameters | Agora'!$B$4*0</f>
        <v>0</v>
      </c>
      <c r="N168" s="123">
        <f>'Parameters | Agora'!$B$4*0</f>
        <v>0</v>
      </c>
      <c r="O168" s="123">
        <f>'Parameters | Agora'!$B$4*0.000105387280666728</f>
        <v>6.264852286514313</v>
      </c>
      <c r="P168" s="123">
        <f>'Parameters | Agora'!$B$4*0.00017725876467605</f>
        <v>10.537324524932469</v>
      </c>
      <c r="Q168" s="123">
        <f>'Parameters | Agora'!$B$4*0.00000332</f>
        <v>0.19736071999999999</v>
      </c>
      <c r="R168" s="123">
        <f>'Parameters | Agora'!$B$4*0.000000228</f>
        <v>1.3553688E-2</v>
      </c>
      <c r="S168" s="123">
        <f>'Parameters | Agora'!$B$4*0.000000010795</f>
        <v>6.4171957000000001E-4</v>
      </c>
      <c r="T168" s="123">
        <f>'Parameters | Agora'!$B$4*1.18661498109551E-06</f>
        <v>7.0539514166203687E-2</v>
      </c>
      <c r="U168" s="123">
        <f>'Parameters | Agora'!$B$4*5.85423396250399E-06</f>
        <v>0.34801079213501218</v>
      </c>
      <c r="V168" s="123">
        <f>'Parameters | Agora'!$B$4*5.85423396250399E-06</f>
        <v>0.34801079213501218</v>
      </c>
      <c r="W168" s="123">
        <f>'Parameters | Agora'!$B$4*3.88785344054027E-06</f>
        <v>0.23111733562635689</v>
      </c>
      <c r="X168" s="123">
        <f>'Parameters | Agora'!$B$4*0.000531</f>
        <v>31.565826000000001</v>
      </c>
      <c r="Y168" s="123">
        <f>'Parameters | Agora'!$B$4*0.000876468554955497</f>
        <v>52.102549717884472</v>
      </c>
      <c r="Z168" s="123">
        <f>'Parameters | Agora'!$B$4*0.000847352843310664</f>
        <v>50.371737123445733</v>
      </c>
      <c r="AA168" s="123">
        <f>'Parameters | Agora'!$B$4*0.000932130944864737</f>
        <v>55.411456148429153</v>
      </c>
      <c r="AB168" s="123">
        <f>'Parameters | Agora'!$B$4*0.00000091</f>
        <v>5.4095859999999996E-2</v>
      </c>
      <c r="AC168" s="123">
        <f>'Parameters | Agora'!$B$4*0.0000812388184469385</f>
        <v>4.8293228013967058</v>
      </c>
      <c r="AD168" s="123">
        <f>'Parameters | Agora'!$B$4*1.29252076816124E-06</f>
        <v>7.6835189584113076E-2</v>
      </c>
      <c r="AE168" s="123">
        <f>'Parameters | Agora'!$B$4*1.29252076816124E-06</f>
        <v>7.6835189584113076E-2</v>
      </c>
      <c r="AF168" s="123">
        <f>'Parameters | Agora'!$B$4*0.000281365323992451</f>
        <v>16.726043050055242</v>
      </c>
      <c r="AG168" s="123">
        <f>'Parameters | Agora'!$B$4*6.88912656339098E-07</f>
        <v>4.095310176873402E-2</v>
      </c>
      <c r="AH168" s="123">
        <f>'Parameters | Agora'!$B$4*5.03297928933031E-06</f>
        <v>0.29919048683352961</v>
      </c>
      <c r="AI168" s="123">
        <f>'Parameters | Agora'!$B$4*1.2482642530336E-07</f>
        <v>7.4204316785835382E-3</v>
      </c>
      <c r="AJ168" s="123">
        <f>'Parameters | Agora'!$B$4*7.51559153121873E-09</f>
        <v>4.4677185416482865E-4</v>
      </c>
    </row>
    <row r="169" spans="1:36">
      <c r="A169" s="120" t="s">
        <v>644</v>
      </c>
      <c r="B169" s="120" t="s">
        <v>645</v>
      </c>
      <c r="C169" s="120" t="s">
        <v>119</v>
      </c>
      <c r="D169" s="120" t="s">
        <v>319</v>
      </c>
      <c r="E169" s="120" t="s">
        <v>316</v>
      </c>
      <c r="F169" s="121">
        <v>2023</v>
      </c>
      <c r="G169" s="123">
        <f>'Parameters | Agora'!$B$4*0.000156526957230732</f>
        <v>9.3049014995380954</v>
      </c>
      <c r="H169" s="123">
        <f>'Parameters | Agora'!$B$4*2.59532051350803E-06</f>
        <v>0.15428142324599836</v>
      </c>
      <c r="I169" s="123">
        <f>'Parameters | Agora'!$B$4*1.13694630906024E-06</f>
        <v>6.758691028839503E-2</v>
      </c>
      <c r="J169" s="123">
        <f>'Parameters | Agora'!$B$4*2.24299408328451E-07</f>
        <v>1.3333702627493097E-2</v>
      </c>
      <c r="K169" s="123">
        <f>'Parameters | Agora'!$B$4*2.73685967471843E-07</f>
        <v>1.6269536022331176E-2</v>
      </c>
      <c r="L169" s="123">
        <f>'Parameters | Agora'!$B$4*7.28231373129231E-06</f>
        <v>0.43290442207040264</v>
      </c>
      <c r="M169" s="123">
        <f>'Parameters | Agora'!$B$4*0</f>
        <v>0</v>
      </c>
      <c r="N169" s="123">
        <f>'Parameters | Agora'!$B$4*0</f>
        <v>0</v>
      </c>
      <c r="O169" s="123">
        <f>'Parameters | Agora'!$B$4*0.000142218914160192</f>
        <v>8.4543455711667725</v>
      </c>
      <c r="P169" s="123">
        <f>'Parameters | Agora'!$B$4*0.00010898672822089</f>
        <v>6.4788250458190273</v>
      </c>
      <c r="Q169" s="123">
        <f>'Parameters | Agora'!$B$4*0.00000332</f>
        <v>0.19736071999999999</v>
      </c>
      <c r="R169" s="123">
        <f>'Parameters | Agora'!$B$4*0.000000228</f>
        <v>1.3553688E-2</v>
      </c>
      <c r="S169" s="123">
        <f>'Parameters | Agora'!$B$4*0.000000010795</f>
        <v>6.4171957000000001E-4</v>
      </c>
      <c r="T169" s="123">
        <f>'Parameters | Agora'!$B$4*2.03061945403947E-06</f>
        <v>0.12071220406483034</v>
      </c>
      <c r="U169" s="123">
        <f>'Parameters | Agora'!$B$4*3.39387250644237E-06</f>
        <v>0.20175214501797312</v>
      </c>
      <c r="V169" s="123">
        <f>'Parameters | Agora'!$B$4*3.39387250644237E-06</f>
        <v>0.20175214501797312</v>
      </c>
      <c r="W169" s="123">
        <f>'Parameters | Agora'!$B$4*3.88785344054027E-06</f>
        <v>0.23111733562635689</v>
      </c>
      <c r="X169" s="123">
        <f>'Parameters | Agora'!$B$4*0.000531</f>
        <v>31.565826000000001</v>
      </c>
      <c r="Y169" s="123">
        <f>'Parameters | Agora'!$B$4*0.00123321801303174</f>
        <v>73.309878002684826</v>
      </c>
      <c r="Z169" s="123">
        <f>'Parameters | Agora'!$B$4*0.00116405267298509</f>
        <v>69.198275198271659</v>
      </c>
      <c r="AA169" s="123">
        <f>'Parameters | Agora'!$B$4*0.00130999154048352</f>
        <v>77.873757115583331</v>
      </c>
      <c r="AB169" s="123">
        <f>'Parameters | Agora'!$B$4*0.00000091</f>
        <v>5.4095859999999996E-2</v>
      </c>
      <c r="AC169" s="123">
        <f>'Parameters | Agora'!$B$4*0.000138340396218337</f>
        <v>8.2237831935952617</v>
      </c>
      <c r="AD169" s="123">
        <f>'Parameters | Agora'!$B$4*2.66613272857896E-07</f>
        <v>1.5849092618310488E-2</v>
      </c>
      <c r="AE169" s="123">
        <f>'Parameters | Agora'!$B$4*2.66613272857896E-07</f>
        <v>1.5849092618310488E-2</v>
      </c>
      <c r="AF169" s="123">
        <f>'Parameters | Agora'!$B$4*0.000281365323992451</f>
        <v>16.726043050055242</v>
      </c>
      <c r="AG169" s="123">
        <f>'Parameters | Agora'!$B$4*1.79504279738668E-06</f>
        <v>0.10670811413344858</v>
      </c>
      <c r="AH169" s="123">
        <f>'Parameters | Agora'!$B$4*1.58323844942751E-06</f>
        <v>9.4117192864667756E-2</v>
      </c>
      <c r="AI169" s="123">
        <f>'Parameters | Agora'!$B$4*5.76792784235723E-09</f>
        <v>3.4288023851676791E-4</v>
      </c>
      <c r="AJ169" s="123">
        <f>'Parameters | Agora'!$B$4*9.82333178582134E-09</f>
        <v>5.8395778133993532E-4</v>
      </c>
    </row>
    <row r="170" spans="1:36">
      <c r="A170" s="120" t="s">
        <v>646</v>
      </c>
      <c r="B170" s="120" t="s">
        <v>647</v>
      </c>
      <c r="C170" s="120" t="s">
        <v>114</v>
      </c>
      <c r="D170" s="120" t="s">
        <v>322</v>
      </c>
      <c r="E170" s="120" t="s">
        <v>316</v>
      </c>
      <c r="F170" s="121">
        <v>2023</v>
      </c>
      <c r="G170" s="123">
        <f>'Parameters | Agora'!$B$4*0.0000493351112506528</f>
        <v>2.9327750234063066</v>
      </c>
      <c r="H170" s="123">
        <f>'Parameters | Agora'!$B$4*2.59532051350803E-06</f>
        <v>0.15428142324599836</v>
      </c>
      <c r="I170" s="123">
        <f>'Parameters | Agora'!$B$4*4.7132651118857E-07</f>
        <v>2.8018475784115732E-2</v>
      </c>
      <c r="J170" s="123">
        <f>'Parameters | Agora'!$B$4*8.62473484142803E-08</f>
        <v>5.1270598738353068E-3</v>
      </c>
      <c r="K170" s="123">
        <f>'Parameters | Agora'!$B$4*1.13457822222401E-07</f>
        <v>6.7446136998328505E-3</v>
      </c>
      <c r="L170" s="123">
        <f>'Parameters | Agora'!$B$4*7.28231373129231E-06</f>
        <v>0.43290442207040264</v>
      </c>
      <c r="M170" s="123">
        <f>'Parameters | Agora'!$B$4*0.0000802376575889047</f>
        <v>4.7698077930300284</v>
      </c>
      <c r="N170" s="123">
        <f>'Parameters | Agora'!$B$4*0.0000728328777309831</f>
        <v>4.329623249596021</v>
      </c>
      <c r="O170" s="123">
        <f>'Parameters | Agora'!$B$4*0.0000855021274530371</f>
        <v>5.0827594685732436</v>
      </c>
      <c r="P170" s="123">
        <f>'Parameters | Agora'!$B$4*0.000879226163704294</f>
        <v>52.266478527565461</v>
      </c>
      <c r="Q170" s="123">
        <f>'Parameters | Agora'!$B$4*0.00000332</f>
        <v>0.19736071999999999</v>
      </c>
      <c r="R170" s="123">
        <f>'Parameters | Agora'!$B$4*0.000000228</f>
        <v>1.3553688E-2</v>
      </c>
      <c r="S170" s="123">
        <f>'Parameters | Agora'!$B$4*0.000000010795</f>
        <v>6.4171957000000001E-4</v>
      </c>
      <c r="T170" s="123">
        <f>'Parameters | Agora'!$B$4*1.13302809848916E-06</f>
        <v>6.7353988342786594E-2</v>
      </c>
      <c r="U170" s="123">
        <f>'Parameters | Agora'!$B$4*0.0000037396142623173</f>
        <v>0.2223051094377142</v>
      </c>
      <c r="V170" s="123">
        <f>'Parameters | Agora'!$B$4*0.0000037396142623173</f>
        <v>0.2223051094377142</v>
      </c>
      <c r="W170" s="123">
        <f>'Parameters | Agora'!$B$4*3.88785344054027E-06</f>
        <v>0.23111733562635689</v>
      </c>
      <c r="X170" s="123">
        <f>'Parameters | Agora'!$B$4*0.000531</f>
        <v>31.565826000000001</v>
      </c>
      <c r="Y170" s="123">
        <f>'Parameters | Agora'!$B$4*0.000350992819093649</f>
        <v>20.865119123841058</v>
      </c>
      <c r="Z170" s="123">
        <f>'Parameters | Agora'!$B$4*0.000344925124082722</f>
        <v>20.504418926221494</v>
      </c>
      <c r="AA170" s="123">
        <f>'Parameters | Agora'!$B$4*0.000361261226035219</f>
        <v>21.47553484288963</v>
      </c>
      <c r="AB170" s="123">
        <f>'Parameters | Agora'!$B$4*0.00000091</f>
        <v>5.4095859999999996E-2</v>
      </c>
      <c r="AC170" s="123">
        <f>'Parameters | Agora'!$B$4*0.0000436029611680912</f>
        <v>2.5920216295983494</v>
      </c>
      <c r="AD170" s="123">
        <f>'Parameters | Agora'!$B$4*8.19791423810468E-07</f>
        <v>4.8733320979837083E-2</v>
      </c>
      <c r="AE170" s="123">
        <f>'Parameters | Agora'!$B$4*8.19791423810468E-07</f>
        <v>4.8733320979837083E-2</v>
      </c>
      <c r="AF170" s="123">
        <f>'Parameters | Agora'!$B$4*0.000281365323992451</f>
        <v>16.726043050055242</v>
      </c>
      <c r="AG170" s="123">
        <f>'Parameters | Agora'!$B$4*7.93200596010796E-07</f>
        <v>4.7152602630457778E-2</v>
      </c>
      <c r="AH170" s="123">
        <f>'Parameters | Agora'!$B$4*2.84492191752867E-06</f>
        <v>0.16911922830940931</v>
      </c>
      <c r="AI170" s="123">
        <f>'Parameters | Agora'!$B$4*9.41044308249055E-08</f>
        <v>5.5941319948173323E-3</v>
      </c>
      <c r="AJ170" s="123">
        <f>'Parameters | Agora'!$B$4*7.38731795293037E-09</f>
        <v>4.3914650302989878E-4</v>
      </c>
    </row>
    <row r="171" spans="1:36">
      <c r="A171" s="120" t="s">
        <v>648</v>
      </c>
      <c r="B171" s="120" t="s">
        <v>649</v>
      </c>
      <c r="C171" s="120" t="s">
        <v>116</v>
      </c>
      <c r="D171" s="120" t="s">
        <v>121</v>
      </c>
      <c r="E171" s="120" t="s">
        <v>316</v>
      </c>
      <c r="F171" s="121">
        <v>2023</v>
      </c>
      <c r="G171" s="123">
        <f>'Parameters | Agora'!$B$4*0.0000470849516882443</f>
        <v>2.7990120380593706</v>
      </c>
      <c r="H171" s="123">
        <f>'Parameters | Agora'!$B$4*2.59532051350803E-06</f>
        <v>0.15428142324599836</v>
      </c>
      <c r="I171" s="123">
        <f>'Parameters | Agora'!$B$4*1.07786782161148E-06</f>
        <v>6.4074930523516038E-2</v>
      </c>
      <c r="J171" s="123">
        <f>'Parameters | Agora'!$B$4*8.63343994036925E-08</f>
        <v>5.1322347069519044E-3</v>
      </c>
      <c r="K171" s="123">
        <f>'Parameters | Agora'!$B$4*2.59464580880989E-07</f>
        <v>1.542413147505127E-2</v>
      </c>
      <c r="L171" s="123">
        <f>'Parameters | Agora'!$B$4*7.28231373129231E-06</f>
        <v>0.43290442207040264</v>
      </c>
      <c r="M171" s="123">
        <f>'Parameters | Agora'!$B$4*0.0000600190337539823</f>
        <v>3.5678914805392319</v>
      </c>
      <c r="N171" s="123">
        <f>'Parameters | Agora'!$B$4*0.000679261983649258</f>
        <v>40.379407880013787</v>
      </c>
      <c r="O171" s="123">
        <f>'Parameters | Agora'!$B$4*0.000158887062755249</f>
        <v>9.4452003325485325</v>
      </c>
      <c r="P171" s="123">
        <f>'Parameters | Agora'!$B$4*0.000110409065948861</f>
        <v>6.5633773343959909</v>
      </c>
      <c r="Q171" s="123">
        <f>'Parameters | Agora'!$B$4*0.00000332</f>
        <v>0.19736071999999999</v>
      </c>
      <c r="R171" s="123">
        <f>'Parameters | Agora'!$B$4*0.000000228</f>
        <v>1.3553688E-2</v>
      </c>
      <c r="S171" s="123">
        <f>'Parameters | Agora'!$B$4*0.000000010795</f>
        <v>6.4171957000000001E-4</v>
      </c>
      <c r="T171" s="123">
        <f>'Parameters | Agora'!$B$4*3.15144463133033E-06</f>
        <v>0.18734077755406278</v>
      </c>
      <c r="U171" s="123">
        <f>'Parameters | Agora'!$B$4*4.42705701673351E-06</f>
        <v>0.26317083141674019</v>
      </c>
      <c r="V171" s="123">
        <f>'Parameters | Agora'!$B$4*4.42705701673351E-06</f>
        <v>0.26317083141674019</v>
      </c>
      <c r="W171" s="123">
        <f>'Parameters | Agora'!$B$4*3.88785344054027E-06</f>
        <v>0.23111733562635689</v>
      </c>
      <c r="X171" s="123">
        <f>'Parameters | Agora'!$B$4*0.000531</f>
        <v>31.565826000000001</v>
      </c>
      <c r="Y171" s="123">
        <f>'Parameters | Agora'!$B$4*0.000456720385759881</f>
        <v>27.150200051881885</v>
      </c>
      <c r="Z171" s="123">
        <f>'Parameters | Agora'!$B$4*0.000446036867964328</f>
        <v>26.515107653007441</v>
      </c>
      <c r="AA171" s="123">
        <f>'Parameters | Agora'!$B$4*0.000462507291232472</f>
        <v>27.494208434605532</v>
      </c>
      <c r="AB171" s="123">
        <f>'Parameters | Agora'!$B$4*0.00000091</f>
        <v>5.4095859999999996E-2</v>
      </c>
      <c r="AC171" s="123">
        <f>'Parameters | Agora'!$B$4*0.0000416142432441926</f>
        <v>2.4738003038942735</v>
      </c>
      <c r="AD171" s="123">
        <f>'Parameters | Agora'!$B$4*3.11621696741444E-06</f>
        <v>0.1852466338449188</v>
      </c>
      <c r="AE171" s="123">
        <f>'Parameters | Agora'!$B$4*3.11621696741444E-06</f>
        <v>0.1852466338449188</v>
      </c>
      <c r="AF171" s="123">
        <f>'Parameters | Agora'!$B$4*0.000281365323992451</f>
        <v>16.726043050055242</v>
      </c>
      <c r="AG171" s="123">
        <f>'Parameters | Agora'!$B$4*2.22818464291024E-06</f>
        <v>0.13245666428244213</v>
      </c>
      <c r="AH171" s="123">
        <f>'Parameters | Agora'!$B$4*1.96556548960326E-06</f>
        <v>0.11684500609495541</v>
      </c>
      <c r="AI171" s="123">
        <f>'Parameters | Agora'!$B$4*2.09239520518641E-07</f>
        <v>1.2438452536751132E-2</v>
      </c>
      <c r="AJ171" s="123">
        <f>'Parameters | Agora'!$B$4*2.40673637013607E-08</f>
        <v>1.4307085025910883E-3</v>
      </c>
    </row>
    <row r="172" spans="1:36">
      <c r="A172" s="120" t="s">
        <v>650</v>
      </c>
      <c r="B172" s="120" t="s">
        <v>651</v>
      </c>
      <c r="C172" s="120" t="s">
        <v>117</v>
      </c>
      <c r="D172" s="120" t="s">
        <v>325</v>
      </c>
      <c r="E172" s="120" t="s">
        <v>316</v>
      </c>
      <c r="F172" s="121">
        <v>2023</v>
      </c>
      <c r="G172" s="123">
        <f>'Parameters | Agora'!$B$4*0.000125444565250494</f>
        <v>7.4571776258808669</v>
      </c>
      <c r="H172" s="123">
        <f>'Parameters | Agora'!$B$4*2.59532051350803E-06</f>
        <v>0.15428142324599836</v>
      </c>
      <c r="I172" s="123">
        <f>'Parameters | Agora'!$B$4*9.11176822040812E-07</f>
        <v>5.4165817363038112E-2</v>
      </c>
      <c r="J172" s="123">
        <f>'Parameters | Agora'!$B$4*1.25062212908419E-07</f>
        <v>7.4344483085538758E-3</v>
      </c>
      <c r="K172" s="123">
        <f>'Parameters | Agora'!$B$4*2.19338686524506E-07</f>
        <v>1.3038807559135782E-2</v>
      </c>
      <c r="L172" s="123">
        <f>'Parameters | Agora'!$B$4*7.28231373129231E-06</f>
        <v>0.43290442207040264</v>
      </c>
      <c r="M172" s="123">
        <f>'Parameters | Agora'!$B$4*0</f>
        <v>0</v>
      </c>
      <c r="N172" s="123">
        <f>'Parameters | Agora'!$B$4*0</f>
        <v>0</v>
      </c>
      <c r="O172" s="123">
        <f>'Parameters | Agora'!$B$4*0.0000598422618082212</f>
        <v>3.5573830954515175</v>
      </c>
      <c r="P172" s="123">
        <f>'Parameters | Agora'!$B$4*0.000072986651902332</f>
        <v>4.3387645089860278</v>
      </c>
      <c r="Q172" s="123">
        <f>'Parameters | Agora'!$B$4*0.00000332</f>
        <v>0.19736071999999999</v>
      </c>
      <c r="R172" s="123">
        <f>'Parameters | Agora'!$B$4*0.000000228</f>
        <v>1.3553688E-2</v>
      </c>
      <c r="S172" s="123">
        <f>'Parameters | Agora'!$B$4*0.000000010795</f>
        <v>6.4171957000000001E-4</v>
      </c>
      <c r="T172" s="123">
        <f>'Parameters | Agora'!$B$4*7.22125623903133E-07</f>
        <v>4.2927479838545647E-2</v>
      </c>
      <c r="U172" s="123">
        <f>'Parameters | Agora'!$B$4*6.27601042133753E-07</f>
        <v>3.7308371550683075E-2</v>
      </c>
      <c r="V172" s="123">
        <f>'Parameters | Agora'!$B$4*6.27601042133753E-07</f>
        <v>3.7308371550683075E-2</v>
      </c>
      <c r="W172" s="123">
        <f>'Parameters | Agora'!$B$4*3.88785344054027E-06</f>
        <v>0.23111733562635689</v>
      </c>
      <c r="X172" s="123">
        <f>'Parameters | Agora'!$B$4*0.000531</f>
        <v>31.565826000000001</v>
      </c>
      <c r="Y172" s="123">
        <f>'Parameters | Agora'!$B$4*0.000972142273257762</f>
        <v>57.789969576080921</v>
      </c>
      <c r="Z172" s="123">
        <f>'Parameters | Agora'!$B$4*0.000929253643555214</f>
        <v>55.240412094783252</v>
      </c>
      <c r="AA172" s="123">
        <f>'Parameters | Agora'!$B$4*0.0010040338184212</f>
        <v>59.685794369866656</v>
      </c>
      <c r="AB172" s="123">
        <f>'Parameters | Agora'!$B$4*0.00000091</f>
        <v>5.4095859999999996E-2</v>
      </c>
      <c r="AC172" s="123">
        <f>'Parameters | Agora'!$B$4*0.000110869406568795</f>
        <v>6.5907427428885876</v>
      </c>
      <c r="AD172" s="123">
        <f>'Parameters | Agora'!$B$4*1.36009810689948E-06</f>
        <v>8.0852392062746484E-2</v>
      </c>
      <c r="AE172" s="123">
        <f>'Parameters | Agora'!$B$4*1.36009810689948E-06</f>
        <v>8.0852392062746484E-2</v>
      </c>
      <c r="AF172" s="123">
        <f>'Parameters | Agora'!$B$4*0.000281365323992451</f>
        <v>16.726043050055242</v>
      </c>
      <c r="AG172" s="123">
        <f>'Parameters | Agora'!$B$4*5.69761433432266E-07</f>
        <v>3.3870038171814484E-2</v>
      </c>
      <c r="AH172" s="123">
        <f>'Parameters | Agora'!$B$4*5.62988645000047E-08</f>
        <v>3.3467422990672794E-3</v>
      </c>
      <c r="AI172" s="123">
        <f>'Parameters | Agora'!$B$4*5.81558173638038E-10</f>
        <v>3.4571307190086802E-5</v>
      </c>
      <c r="AJ172" s="123">
        <f>'Parameters | Agora'!$B$4*9.59186027844718E-10</f>
        <v>5.7019772611257107E-5</v>
      </c>
    </row>
    <row r="173" spans="1:36">
      <c r="A173" s="120" t="s">
        <v>652</v>
      </c>
      <c r="B173" s="120" t="s">
        <v>653</v>
      </c>
      <c r="C173" s="120" t="s">
        <v>115</v>
      </c>
      <c r="D173" s="120" t="s">
        <v>322</v>
      </c>
      <c r="E173" s="120" t="s">
        <v>316</v>
      </c>
      <c r="F173" s="121">
        <v>2023</v>
      </c>
      <c r="G173" s="123">
        <f>'Parameters | Agora'!$B$4*0.0000211235426643397</f>
        <v>1.2557101172243379</v>
      </c>
      <c r="H173" s="123">
        <f>'Parameters | Agora'!$B$4*2.59532051350803E-06</f>
        <v>0.15428142324599836</v>
      </c>
      <c r="I173" s="123">
        <f>'Parameters | Agora'!$B$4*1.01986333256896E-06</f>
        <v>6.0626795667894397E-2</v>
      </c>
      <c r="J173" s="123">
        <f>'Parameters | Agora'!$B$4*4.88936917779182E-08</f>
        <v>2.9065344014301254E-3</v>
      </c>
      <c r="K173" s="123">
        <f>'Parameters | Agora'!$B$4*2.45501727424495E-07</f>
        <v>1.4594095688476529E-2</v>
      </c>
      <c r="L173" s="123">
        <f>'Parameters | Agora'!$B$4*7.28231373129231E-06</f>
        <v>0.43290442207040264</v>
      </c>
      <c r="M173" s="123">
        <f>'Parameters | Agora'!$B$4*0.00010961996161341</f>
        <v>6.5164682380707708</v>
      </c>
      <c r="N173" s="123">
        <f>'Parameters | Agora'!$B$4*0.0000725028809293703</f>
        <v>4.3100062597273467</v>
      </c>
      <c r="O173" s="123">
        <f>'Parameters | Agora'!$B$4*0.0000517279384204406</f>
        <v>3.0750190273415119</v>
      </c>
      <c r="P173" s="123">
        <f>'Parameters | Agora'!$B$4*0.0000876552550377942</f>
        <v>5.2107542909767144</v>
      </c>
      <c r="Q173" s="123">
        <f>'Parameters | Agora'!$B$4*0.00000332</f>
        <v>0.19736071999999999</v>
      </c>
      <c r="R173" s="123">
        <f>'Parameters | Agora'!$B$4*0.000000228</f>
        <v>1.3553688E-2</v>
      </c>
      <c r="S173" s="123">
        <f>'Parameters | Agora'!$B$4*0.000000010795</f>
        <v>6.4171957000000001E-4</v>
      </c>
      <c r="T173" s="123">
        <f>'Parameters | Agora'!$B$4*5.36134014483042E-07</f>
        <v>3.1871022624958917E-2</v>
      </c>
      <c r="U173" s="123">
        <f>'Parameters | Agora'!$B$4*3.94191256162031E-07</f>
        <v>2.3433093413808094E-2</v>
      </c>
      <c r="V173" s="123">
        <f>'Parameters | Agora'!$B$4*3.94191256162031E-07</f>
        <v>2.3433093413808094E-2</v>
      </c>
      <c r="W173" s="123">
        <f>'Parameters | Agora'!$B$4*3.88785344054027E-06</f>
        <v>0.23111733562635689</v>
      </c>
      <c r="X173" s="123">
        <f>'Parameters | Agora'!$B$4*0.000531</f>
        <v>31.565826000000001</v>
      </c>
      <c r="Y173" s="123">
        <f>'Parameters | Agora'!$B$4*0.000700931605697528</f>
        <v>41.667580232295244</v>
      </c>
      <c r="Z173" s="123">
        <f>'Parameters | Agora'!$B$4*0.000700027177819208</f>
        <v>41.613815612640643</v>
      </c>
      <c r="AA173" s="123">
        <f>'Parameters | Agora'!$B$4*0.000701836033575847</f>
        <v>41.721344851949802</v>
      </c>
      <c r="AB173" s="123">
        <f>'Parameters | Agora'!$B$4*0.00000091</f>
        <v>5.4095859999999996E-2</v>
      </c>
      <c r="AC173" s="123">
        <f>'Parameters | Agora'!$B$4*0.0000186692395573251</f>
        <v>1.1098116147247481</v>
      </c>
      <c r="AD173" s="123">
        <f>'Parameters | Agora'!$B$4*2.87900530129804E-06</f>
        <v>0.17114534914096327</v>
      </c>
      <c r="AE173" s="123">
        <f>'Parameters | Agora'!$B$4*2.87900530129804E-06</f>
        <v>0.17114534914096327</v>
      </c>
      <c r="AF173" s="123">
        <f>'Parameters | Agora'!$B$4*0.000281365323992451</f>
        <v>16.726043050055242</v>
      </c>
      <c r="AG173" s="123">
        <f>'Parameters | Agora'!$B$4*2.62613412293063E-07</f>
        <v>1.5611316907173423E-2</v>
      </c>
      <c r="AH173" s="123">
        <f>'Parameters | Agora'!$B$4*1.65260439669287E-07</f>
        <v>9.8240720965804343E-3</v>
      </c>
      <c r="AI173" s="123">
        <f>-'Parameters | Agora'!$B$4*3.77723482235607E-08</f>
        <v>-2.2454150124977894E-3</v>
      </c>
      <c r="AJ173" s="123">
        <f>'Parameters | Agora'!$B$4*4.08975242324111E-09</f>
        <v>2.4311942255199104E-4</v>
      </c>
    </row>
    <row r="174" spans="1:36">
      <c r="A174" s="120" t="s">
        <v>654</v>
      </c>
      <c r="B174" s="120" t="s">
        <v>655</v>
      </c>
      <c r="C174" s="120" t="s">
        <v>115</v>
      </c>
      <c r="D174" s="120" t="s">
        <v>322</v>
      </c>
      <c r="E174" s="120" t="s">
        <v>316</v>
      </c>
      <c r="F174" s="121">
        <v>2023</v>
      </c>
      <c r="G174" s="123">
        <f>'Parameters | Agora'!$B$4*0.0000648218276725226</f>
        <v>3.8533983678207782</v>
      </c>
      <c r="H174" s="123">
        <f>'Parameters | Agora'!$B$4*2.59532051350803E-06</f>
        <v>0.15428142324599836</v>
      </c>
      <c r="I174" s="123">
        <f>'Parameters | Agora'!$B$4*2.38816681242096E-07</f>
        <v>1.4196696433117637E-2</v>
      </c>
      <c r="J174" s="123">
        <f>'Parameters | Agora'!$B$4*4.88936917779182E-08</f>
        <v>2.9065344014301254E-3</v>
      </c>
      <c r="K174" s="123">
        <f>'Parameters | Agora'!$B$4*5.74880044319617E-08</f>
        <v>3.4174319114623954E-3</v>
      </c>
      <c r="L174" s="123">
        <f>'Parameters | Agora'!$B$4*7.28231373129231E-06</f>
        <v>0.43290442207040264</v>
      </c>
      <c r="M174" s="123">
        <f>'Parameters | Agora'!$B$4*0</f>
        <v>0</v>
      </c>
      <c r="N174" s="123">
        <f>'Parameters | Agora'!$B$4*0</f>
        <v>0</v>
      </c>
      <c r="O174" s="123">
        <f>'Parameters | Agora'!$B$4*0.0000380938092546402</f>
        <v>2.2645245849513413</v>
      </c>
      <c r="P174" s="123">
        <f>'Parameters | Agora'!$B$4*3.65503316897659E-06</f>
        <v>0.21727710176298234</v>
      </c>
      <c r="Q174" s="123">
        <f>'Parameters | Agora'!$B$4*0.00000332</f>
        <v>0.19736071999999999</v>
      </c>
      <c r="R174" s="123">
        <f>'Parameters | Agora'!$B$4*0.000000228</f>
        <v>1.3553688E-2</v>
      </c>
      <c r="S174" s="123">
        <f>'Parameters | Agora'!$B$4*0.000000010795</f>
        <v>6.4171957000000001E-4</v>
      </c>
      <c r="T174" s="123">
        <f>'Parameters | Agora'!$B$4*3.65337023481855E-08</f>
        <v>2.1717824697902351E-3</v>
      </c>
      <c r="U174" s="123">
        <f>'Parameters | Agora'!$B$4*3.71318596877916E-09</f>
        <v>2.2073405310004594E-4</v>
      </c>
      <c r="V174" s="123">
        <f>'Parameters | Agora'!$B$4*3.71318596877916E-09</f>
        <v>2.2073405310004594E-4</v>
      </c>
      <c r="W174" s="123">
        <f>'Parameters | Agora'!$B$4*3.88785344054027E-06</f>
        <v>0.23111733562635689</v>
      </c>
      <c r="X174" s="123">
        <f>'Parameters | Agora'!$B$4*0.000531</f>
        <v>31.565826000000001</v>
      </c>
      <c r="Y174" s="123">
        <f>'Parameters | Agora'!$B$4*0.00120078624411572</f>
        <v>71.381939067703087</v>
      </c>
      <c r="Z174" s="123">
        <f>'Parameters | Agora'!$B$4*0.00120033157306531</f>
        <v>71.354910692440427</v>
      </c>
      <c r="AA174" s="123">
        <f>'Parameters | Agora'!$B$4*0.00120169558621653</f>
        <v>71.435995818227838</v>
      </c>
      <c r="AB174" s="123">
        <f>'Parameters | Agora'!$B$4*0.00000091</f>
        <v>5.4095859999999996E-2</v>
      </c>
      <c r="AC174" s="123">
        <f>'Parameters | Agora'!$B$4*0.0000572903062990925</f>
        <v>3.4056795482558528</v>
      </c>
      <c r="AD174" s="123">
        <f>'Parameters | Agora'!$B$4*5.13695016826831E-07</f>
        <v>3.0537113970287796E-2</v>
      </c>
      <c r="AE174" s="123">
        <f>'Parameters | Agora'!$B$4*5.13695016826831E-07</f>
        <v>3.0537113970287796E-2</v>
      </c>
      <c r="AF174" s="123">
        <f>'Parameters | Agora'!$B$4*0.000281365323992451</f>
        <v>16.726043050055242</v>
      </c>
      <c r="AG174" s="123">
        <f>'Parameters | Agora'!$B$4*0</f>
        <v>0</v>
      </c>
      <c r="AH174" s="123">
        <f>'Parameters | Agora'!$B$4*3.33738464636128E-09</f>
        <v>1.9839416768759266E-4</v>
      </c>
      <c r="AI174" s="123">
        <f>'Parameters | Agora'!$B$4*2.37557747537794E-10</f>
        <v>1.4121857860131702E-5</v>
      </c>
      <c r="AJ174" s="123">
        <f>'Parameters | Agora'!$B$4*1.38243574880089E-10</f>
        <v>8.2180275523217708E-6</v>
      </c>
    </row>
    <row r="175" spans="1:36">
      <c r="A175" s="120" t="s">
        <v>656</v>
      </c>
      <c r="B175" s="120" t="s">
        <v>657</v>
      </c>
      <c r="C175" s="120" t="s">
        <v>119</v>
      </c>
      <c r="D175" s="120" t="s">
        <v>319</v>
      </c>
      <c r="E175" s="120" t="s">
        <v>316</v>
      </c>
      <c r="F175" s="121">
        <v>2023</v>
      </c>
      <c r="G175" s="123">
        <f>'Parameters | Agora'!$B$4*0.000228952513133396</f>
        <v>13.610311095727859</v>
      </c>
      <c r="H175" s="123">
        <f>'Parameters | Agora'!$B$4*2.59532051350803E-06</f>
        <v>0.15428142324599836</v>
      </c>
      <c r="I175" s="123">
        <f>'Parameters | Agora'!$B$4*1.66301523624056E-06</f>
        <v>9.8859603733556317E-2</v>
      </c>
      <c r="J175" s="123">
        <f>'Parameters | Agora'!$B$4*2.24299408328451E-07</f>
        <v>1.3333702627493097E-2</v>
      </c>
      <c r="K175" s="123">
        <f>'Parameters | Agora'!$B$4*4.00321396203061E-07</f>
        <v>2.3797505718687165E-2</v>
      </c>
      <c r="L175" s="123">
        <f>'Parameters | Agora'!$B$4*7.28231373129231E-06</f>
        <v>0.43290442207040264</v>
      </c>
      <c r="M175" s="123">
        <f>'Parameters | Agora'!$B$4*0.000849700612082606</f>
        <v>50.511302585862595</v>
      </c>
      <c r="N175" s="123">
        <f>'Parameters | Agora'!$B$4*0.000306210076456512</f>
        <v>18.202964205033812</v>
      </c>
      <c r="O175" s="123">
        <f>'Parameters | Agora'!$B$4*0.0000947069127191053</f>
        <v>5.6299471334999343</v>
      </c>
      <c r="P175" s="123">
        <f>'Parameters | Agora'!$B$4*0.000100093470924766</f>
        <v>5.9501564725936396</v>
      </c>
      <c r="Q175" s="123">
        <f>'Parameters | Agora'!$B$4*0.00000332</f>
        <v>0.19736071999999999</v>
      </c>
      <c r="R175" s="123">
        <f>'Parameters | Agora'!$B$4*0.000000228</f>
        <v>1.3553688E-2</v>
      </c>
      <c r="S175" s="123">
        <f>'Parameters | Agora'!$B$4*0.000000010795</f>
        <v>6.4171957000000001E-4</v>
      </c>
      <c r="T175" s="123">
        <f>'Parameters | Agora'!$B$4*2.88660523092016E-06</f>
        <v>0.17159713455727982</v>
      </c>
      <c r="U175" s="123">
        <f>'Parameters | Agora'!$B$4*4.61853404884551E-06</f>
        <v>0.27455337506767019</v>
      </c>
      <c r="V175" s="123">
        <f>'Parameters | Agora'!$B$4*4.61853404884551E-06</f>
        <v>0.27455337506767019</v>
      </c>
      <c r="W175" s="123">
        <f>'Parameters | Agora'!$B$4*3.88785344054027E-06</f>
        <v>0.23111733562635689</v>
      </c>
      <c r="X175" s="123">
        <f>'Parameters | Agora'!$B$4*0.000531</f>
        <v>31.565826000000001</v>
      </c>
      <c r="Y175" s="123">
        <f>'Parameters | Agora'!$B$4*0.000652608270012655</f>
        <v>38.79495121917229</v>
      </c>
      <c r="Z175" s="123">
        <f>'Parameters | Agora'!$B$4*0.000613839461893091</f>
        <v>36.490300651696685</v>
      </c>
      <c r="AA175" s="123">
        <f>'Parameters | Agora'!$B$4*0.000673034846333715</f>
        <v>40.009229475154022</v>
      </c>
      <c r="AB175" s="123">
        <f>'Parameters | Agora'!$B$4*0.00000091</f>
        <v>5.4095859999999996E-2</v>
      </c>
      <c r="AC175" s="123">
        <f>'Parameters | Agora'!$B$4*0.000202350968436506</f>
        <v>12.028955669676535</v>
      </c>
      <c r="AD175" s="123">
        <f>'Parameters | Agora'!$B$4*4.387160914393E-10</f>
        <v>2.607991677170063E-5</v>
      </c>
      <c r="AE175" s="123">
        <f>'Parameters | Agora'!$B$4*4.387160914393E-10</f>
        <v>2.607991677170063E-5</v>
      </c>
      <c r="AF175" s="123">
        <f>'Parameters | Agora'!$B$4*0.000281365323992451</f>
        <v>16.726043050055242</v>
      </c>
      <c r="AG175" s="123">
        <f>'Parameters | Agora'!$B$4*2.57346717574731E-06</f>
        <v>0.15298232972947459</v>
      </c>
      <c r="AH175" s="123">
        <f>'Parameters | Agora'!$B$4*2.03337654769571E-06</f>
        <v>0.12087610225431919</v>
      </c>
      <c r="AI175" s="123">
        <f>'Parameters | Agora'!$B$4*3.20416699269891E-13</f>
        <v>1.904749110479794E-8</v>
      </c>
      <c r="AJ175" s="123">
        <f>'Parameters | Agora'!$B$4*1.16900049857865E-08</f>
        <v>6.9492403638506432E-4</v>
      </c>
    </row>
    <row r="176" spans="1:36">
      <c r="A176" s="120" t="s">
        <v>658</v>
      </c>
      <c r="B176" s="120" t="s">
        <v>659</v>
      </c>
      <c r="C176" s="120" t="s">
        <v>115</v>
      </c>
      <c r="D176" s="120" t="s">
        <v>325</v>
      </c>
      <c r="E176" s="120" t="s">
        <v>316</v>
      </c>
      <c r="F176" s="121">
        <v>2023</v>
      </c>
      <c r="G176" s="123">
        <f>'Parameters | Agora'!$B$4*0.0000827590957879429</f>
        <v>4.9196972082100539</v>
      </c>
      <c r="H176" s="123">
        <f>'Parameters | Agora'!$B$4*2.59532051350803E-06</f>
        <v>0.15428142324599836</v>
      </c>
      <c r="I176" s="123">
        <f>'Parameters | Agora'!$B$4*6.01127436206185E-07</f>
        <v>3.5734621572712878E-2</v>
      </c>
      <c r="J176" s="123">
        <f>'Parameters | Agora'!$B$4*4.88936917779182E-08</f>
        <v>2.9065344014301254E-3</v>
      </c>
      <c r="K176" s="123">
        <f>'Parameters | Agora'!$B$4*1.44703529657389E-07</f>
        <v>8.602046024013146E-3</v>
      </c>
      <c r="L176" s="123">
        <f>'Parameters | Agora'!$B$4*7.28231373129231E-06</f>
        <v>0.43290442207040264</v>
      </c>
      <c r="M176" s="123">
        <f>'Parameters | Agora'!$B$4*0.0000246875686968102</f>
        <v>1.4675772087505792</v>
      </c>
      <c r="N176" s="123">
        <f>'Parameters | Agora'!$B$4*1.07439287192385E-06</f>
        <v>6.3868358664385186E-2</v>
      </c>
      <c r="O176" s="123">
        <f>'Parameters | Agora'!$B$4*0.0000267707464505781</f>
        <v>1.5914137935010657</v>
      </c>
      <c r="P176" s="123">
        <f>'Parameters | Agora'!$B$4*0.0000139986339210209</f>
        <v>0.83216279206900834</v>
      </c>
      <c r="Q176" s="123">
        <f>'Parameters | Agora'!$B$4*0.00000332</f>
        <v>0.19736071999999999</v>
      </c>
      <c r="R176" s="123">
        <f>'Parameters | Agora'!$B$4*0.000000228</f>
        <v>1.3553688E-2</v>
      </c>
      <c r="S176" s="123">
        <f>'Parameters | Agora'!$B$4*0.000000010795</f>
        <v>6.4171957000000001E-4</v>
      </c>
      <c r="T176" s="123">
        <f>'Parameters | Agora'!$B$4*6.48194020577433E-07</f>
        <v>3.8532541747246081E-2</v>
      </c>
      <c r="U176" s="123">
        <f>'Parameters | Agora'!$B$4*5.28220895645903E-07</f>
        <v>3.140061936256635E-2</v>
      </c>
      <c r="V176" s="123">
        <f>'Parameters | Agora'!$B$4*5.28220895645903E-07</f>
        <v>3.140061936256635E-2</v>
      </c>
      <c r="W176" s="123">
        <f>'Parameters | Agora'!$B$4*3.88785344054027E-06</f>
        <v>0.23111733562635689</v>
      </c>
      <c r="X176" s="123">
        <f>'Parameters | Agora'!$B$4*0.000531</f>
        <v>31.565826000000001</v>
      </c>
      <c r="Y176" s="123">
        <f>'Parameters | Agora'!$B$4*0.00199536458255826</f>
        <v>118.61644297475831</v>
      </c>
      <c r="Z176" s="123">
        <f>'Parameters | Agora'!$B$4*0.00179449886588326</f>
        <v>106.67577958129627</v>
      </c>
      <c r="AA176" s="123">
        <f>'Parameters | Agora'!$B$4*0.00214305996246635</f>
        <v>127.39634252877462</v>
      </c>
      <c r="AB176" s="123">
        <f>'Parameters | Agora'!$B$4*0.00000091</f>
        <v>5.4095859999999996E-2</v>
      </c>
      <c r="AC176" s="123">
        <f>'Parameters | Agora'!$B$4*0.0000731434783153603</f>
        <v>4.3480872119349083</v>
      </c>
      <c r="AD176" s="123">
        <f>'Parameters | Agora'!$B$4*1.20536009632309E-06</f>
        <v>7.1653836286022399E-2</v>
      </c>
      <c r="AE176" s="123">
        <f>'Parameters | Agora'!$B$4*1.20536009632309E-06</f>
        <v>7.1653836286022399E-2</v>
      </c>
      <c r="AF176" s="123">
        <f>'Parameters | Agora'!$B$4*0.000281365323992451</f>
        <v>16.726043050055242</v>
      </c>
      <c r="AG176" s="123">
        <f>'Parameters | Agora'!$B$4*5.19207922577539E-07</f>
        <v>3.0864834165544384E-2</v>
      </c>
      <c r="AH176" s="123">
        <f>'Parameters | Agora'!$B$4*2.22125581833349E-09</f>
        <v>1.3204477337665265E-4</v>
      </c>
      <c r="AI176" s="123">
        <f>'Parameters | Agora'!$B$4*4.29461338987158E-09</f>
        <v>2.5529758757430597E-4</v>
      </c>
      <c r="AJ176" s="123">
        <f>'Parameters | Agora'!$B$4*2.49710386015914E-09</f>
        <v>1.4844283607102024E-4</v>
      </c>
    </row>
    <row r="177" spans="1:36">
      <c r="A177" s="120" t="s">
        <v>660</v>
      </c>
      <c r="B177" s="120" t="s">
        <v>661</v>
      </c>
      <c r="C177" s="120" t="s">
        <v>117</v>
      </c>
      <c r="D177" s="120" t="s">
        <v>121</v>
      </c>
      <c r="E177" s="120" t="s">
        <v>316</v>
      </c>
      <c r="F177" s="121">
        <v>2023</v>
      </c>
      <c r="G177" s="123">
        <f>'Parameters | Agora'!$B$4*0.0000105482669504541</f>
        <v>0.62705227713669442</v>
      </c>
      <c r="H177" s="123">
        <f>'Parameters | Agora'!$B$4*2.59532051350803E-06</f>
        <v>0.15428142324599836</v>
      </c>
      <c r="I177" s="123">
        <f>'Parameters | Agora'!$B$4*4.96883219393159E-07</f>
        <v>2.953771986004573E-2</v>
      </c>
      <c r="J177" s="123">
        <f>'Parameters | Agora'!$B$4*1.25062212908419E-07</f>
        <v>7.4344483085538758E-3</v>
      </c>
      <c r="K177" s="123">
        <f>'Parameters | Agora'!$B$4*1.19609838684946E-07</f>
        <v>7.1103264704653005E-3</v>
      </c>
      <c r="L177" s="123">
        <f>'Parameters | Agora'!$B$4*7.28231373129231E-06</f>
        <v>0.43290442207040264</v>
      </c>
      <c r="M177" s="123">
        <f>'Parameters | Agora'!$B$4*0</f>
        <v>0</v>
      </c>
      <c r="N177" s="123">
        <f>'Parameters | Agora'!$B$4*0</f>
        <v>0</v>
      </c>
      <c r="O177" s="123">
        <f>'Parameters | Agora'!$B$4*0</f>
        <v>0</v>
      </c>
      <c r="P177" s="123">
        <f>'Parameters | Agora'!$B$4*0</f>
        <v>0</v>
      </c>
      <c r="Q177" s="123">
        <f>'Parameters | Agora'!$B$4*0.00000332</f>
        <v>0.19736071999999999</v>
      </c>
      <c r="R177" s="123">
        <f>'Parameters | Agora'!$B$4*0.000000228</f>
        <v>1.3553688E-2</v>
      </c>
      <c r="S177" s="123">
        <f>'Parameters | Agora'!$B$4*0.000000010795</f>
        <v>6.4171957000000001E-4</v>
      </c>
      <c r="T177" s="123">
        <f>-'Parameters | Agora'!$B$4*1.86989154072866E-08</f>
        <v>-1.1115757253015593E-3</v>
      </c>
      <c r="U177" s="123">
        <f>-'Parameters | Agora'!$B$4*1.68247596605165E-08</f>
        <v>-1.0001646627790638E-3</v>
      </c>
      <c r="V177" s="123">
        <f>-'Parameters | Agora'!$B$4*1.68247596605165E-08</f>
        <v>-1.0001646627790638E-3</v>
      </c>
      <c r="W177" s="123">
        <f>'Parameters | Agora'!$B$4*3.88785344054027E-06</f>
        <v>0.23111733562635689</v>
      </c>
      <c r="X177" s="123">
        <f>'Parameters | Agora'!$B$4*0.000531</f>
        <v>31.565826000000001</v>
      </c>
      <c r="Y177" s="123">
        <f>'Parameters | Agora'!$B$4*0.000570880212344279</f>
        <v>33.936545103018013</v>
      </c>
      <c r="Z177" s="123">
        <f>'Parameters | Agora'!$B$4*0.000586468318741225</f>
        <v>34.863195675890857</v>
      </c>
      <c r="AA177" s="123">
        <f>'Parameters | Agora'!$B$4*0.000533687537432269</f>
        <v>31.725589350198661</v>
      </c>
      <c r="AB177" s="123">
        <f>'Parameters | Agora'!$B$4*0.00000091</f>
        <v>5.4095859999999996E-2</v>
      </c>
      <c r="AC177" s="123">
        <f>'Parameters | Agora'!$B$4*0.0000093226844446454</f>
        <v>0.55419629949639049</v>
      </c>
      <c r="AD177" s="123">
        <f>'Parameters | Agora'!$B$4*1.43495485421553E-06</f>
        <v>8.5302326263696396E-2</v>
      </c>
      <c r="AE177" s="123">
        <f>'Parameters | Agora'!$B$4*1.43495485421553E-06</f>
        <v>8.5302326263696396E-2</v>
      </c>
      <c r="AF177" s="123">
        <f>'Parameters | Agora'!$B$4*0.000281365323992451</f>
        <v>16.726043050055242</v>
      </c>
      <c r="AG177" s="123">
        <f>'Parameters | Agora'!$B$4*0</f>
        <v>0</v>
      </c>
      <c r="AH177" s="123">
        <f>-'Parameters | Agora'!$B$4*8.07457332894317E-09</f>
        <v>-4.8000108611235566E-4</v>
      </c>
      <c r="AI177" s="123">
        <f>-'Parameters | Agora'!$B$4*8.82462827722417E-09</f>
        <v>-5.2458885256786796E-4</v>
      </c>
      <c r="AJ177" s="123">
        <f>'Parameters | Agora'!$B$4*7.44419456508639E-11</f>
        <v>4.4252759011612551E-6</v>
      </c>
    </row>
    <row r="178" spans="1:36">
      <c r="A178" s="120" t="s">
        <v>662</v>
      </c>
      <c r="B178" s="120" t="s">
        <v>663</v>
      </c>
      <c r="C178" s="120" t="s">
        <v>115</v>
      </c>
      <c r="D178" s="120" t="s">
        <v>121</v>
      </c>
      <c r="E178" s="120" t="s">
        <v>316</v>
      </c>
      <c r="F178" s="121">
        <v>2023</v>
      </c>
      <c r="G178" s="123">
        <f>'Parameters | Agora'!$B$4*7.91797882446776E-06</f>
        <v>0.47069216919931045</v>
      </c>
      <c r="H178" s="123">
        <f>'Parameters | Agora'!$B$4*2.59532051350803E-06</f>
        <v>0.15428142324599836</v>
      </c>
      <c r="I178" s="123">
        <f>'Parameters | Agora'!$B$4*2.13034181842712E-06</f>
        <v>0.12664029973821858</v>
      </c>
      <c r="J178" s="123">
        <f>'Parameters | Agora'!$B$4*4.88936917779182E-08</f>
        <v>2.9065344014301254E-3</v>
      </c>
      <c r="K178" s="123">
        <f>'Parameters | Agora'!$B$4*5.12816354629685E-07</f>
        <v>3.0484881017316258E-2</v>
      </c>
      <c r="L178" s="123">
        <f>'Parameters | Agora'!$B$4*7.28231373129231E-06</f>
        <v>0.43290442207040264</v>
      </c>
      <c r="M178" s="123">
        <f>'Parameters | Agora'!$B$4*0.0000515516470961581</f>
        <v>3.0645392132782145</v>
      </c>
      <c r="N178" s="123">
        <f>'Parameters | Agora'!$B$4*0.0000703523943528907</f>
        <v>4.1821684347019401</v>
      </c>
      <c r="O178" s="123">
        <f>'Parameters | Agora'!$B$4*6.33134161628279E-06</f>
        <v>0.37637293372154673</v>
      </c>
      <c r="P178" s="123">
        <f>'Parameters | Agora'!$B$4*0.0000470324596558731</f>
        <v>2.795891596703032</v>
      </c>
      <c r="Q178" s="123">
        <f>'Parameters | Agora'!$B$4*0.00000332</f>
        <v>0.19736071999999999</v>
      </c>
      <c r="R178" s="123">
        <f>'Parameters | Agora'!$B$4*0.000000228</f>
        <v>1.3553688E-2</v>
      </c>
      <c r="S178" s="123">
        <f>'Parameters | Agora'!$B$4*0.000000010795</f>
        <v>6.4171957000000001E-4</v>
      </c>
      <c r="T178" s="123">
        <f>'Parameters | Agora'!$B$4*0.0000041580983655989</f>
        <v>0.24718231544139219</v>
      </c>
      <c r="U178" s="123">
        <f>'Parameters | Agora'!$B$4*3.37283072533466E-06</f>
        <v>0.2005012952982442</v>
      </c>
      <c r="V178" s="123">
        <f>'Parameters | Agora'!$B$4*3.37283072533466E-06</f>
        <v>0.2005012952982442</v>
      </c>
      <c r="W178" s="123">
        <f>'Parameters | Agora'!$B$4*3.88785344054027E-06</f>
        <v>0.23111733562635689</v>
      </c>
      <c r="X178" s="123">
        <f>'Parameters | Agora'!$B$4*0.000531</f>
        <v>31.565826000000001</v>
      </c>
      <c r="Y178" s="123">
        <f>'Parameters | Agora'!$B$4*0.000438234277477749</f>
        <v>26.051274858942268</v>
      </c>
      <c r="Z178" s="123">
        <f>'Parameters | Agora'!$B$4*0.000359978156499579</f>
        <v>21.399261491273972</v>
      </c>
      <c r="AA178" s="123">
        <f>'Parameters | Agora'!$B$4*0.000446980549822368</f>
        <v>26.571205764740487</v>
      </c>
      <c r="AB178" s="123">
        <f>'Parameters | Agora'!$B$4*0.00000091</f>
        <v>5.4095859999999996E-2</v>
      </c>
      <c r="AC178" s="123">
        <f>'Parameters | Agora'!$B$4*6.99800435148442E-06</f>
        <v>0.41600336667834281</v>
      </c>
      <c r="AD178" s="123">
        <f>'Parameters | Agora'!$B$4*6.58954058331628E-06</f>
        <v>0.39172182951581958</v>
      </c>
      <c r="AE178" s="123">
        <f>'Parameters | Agora'!$B$4*6.58954058331628E-06</f>
        <v>0.39172182951581958</v>
      </c>
      <c r="AF178" s="123">
        <f>'Parameters | Agora'!$B$4*0.000281365323992451</f>
        <v>16.726043050055242</v>
      </c>
      <c r="AG178" s="123">
        <f>'Parameters | Agora'!$B$4*2.84674010954062E-06</f>
        <v>0.16922731255175169</v>
      </c>
      <c r="AH178" s="123">
        <f>'Parameters | Agora'!$B$4*2.10516122185478E-07</f>
        <v>1.2514341399437925E-2</v>
      </c>
      <c r="AI178" s="123">
        <f>'Parameters | Agora'!$B$4*2.99980345920575E-07</f>
        <v>1.7832631643594502E-2</v>
      </c>
      <c r="AJ178" s="123">
        <f>'Parameters | Agora'!$B$4*1.55941476879879E-08</f>
        <v>9.2700970346012881E-4</v>
      </c>
    </row>
    <row r="179" spans="1:36">
      <c r="A179" s="120" t="s">
        <v>664</v>
      </c>
      <c r="B179" s="120" t="s">
        <v>665</v>
      </c>
      <c r="C179" s="120" t="s">
        <v>120</v>
      </c>
      <c r="D179" s="120" t="s">
        <v>121</v>
      </c>
      <c r="E179" s="120" t="s">
        <v>316</v>
      </c>
      <c r="F179" s="121">
        <v>2023</v>
      </c>
      <c r="G179" s="123">
        <f>'Parameters | Agora'!$B$4*8.06366256798109E-06</f>
        <v>0.47935248501620387</v>
      </c>
      <c r="H179" s="123">
        <f>'Parameters | Agora'!$B$4*2.59532051350803E-06</f>
        <v>0.15428142324599836</v>
      </c>
      <c r="I179" s="123">
        <f>'Parameters | Agora'!$B$4*9.80814266269919E-07</f>
        <v>5.8305484872681605E-2</v>
      </c>
      <c r="J179" s="123">
        <f>'Parameters | Agora'!$B$4*1.396999846752E-08</f>
        <v>8.3046052890019392E-4</v>
      </c>
      <c r="K179" s="123">
        <f>'Parameters | Agora'!$B$4*2.36101827531457E-07</f>
        <v>1.4035309239434992E-2</v>
      </c>
      <c r="L179" s="123">
        <f>'Parameters | Agora'!$B$4*7.28231373129231E-06</f>
        <v>0.43290442207040264</v>
      </c>
      <c r="M179" s="123">
        <f>'Parameters | Agora'!$B$4*0.00013410756373784</f>
        <v>7.9721582339596369</v>
      </c>
      <c r="N179" s="123">
        <f>'Parameters | Agora'!$B$4*0.0000664183566240038</f>
        <v>3.9483056278705302</v>
      </c>
      <c r="O179" s="123">
        <f>'Parameters | Agora'!$B$4*0.0000120411684074001</f>
        <v>0.7157992971463063</v>
      </c>
      <c r="P179" s="123">
        <f>'Parameters | Agora'!$B$4*8.70194330895291E-06</f>
        <v>0.51729572194401474</v>
      </c>
      <c r="Q179" s="123">
        <f>'Parameters | Agora'!$B$4*0.00000332</f>
        <v>0.19736071999999999</v>
      </c>
      <c r="R179" s="123">
        <f>'Parameters | Agora'!$B$4*0.000000228</f>
        <v>1.3553688E-2</v>
      </c>
      <c r="S179" s="123">
        <f>'Parameters | Agora'!$B$4*0.000000010795</f>
        <v>6.4171957000000001E-4</v>
      </c>
      <c r="T179" s="123">
        <f>'Parameters | Agora'!$B$4*1.17377874132827E-06</f>
        <v>6.9776451057000338E-2</v>
      </c>
      <c r="U179" s="123">
        <f>'Parameters | Agora'!$B$4*1.33551511577807E-06</f>
        <v>7.9391031572543139E-2</v>
      </c>
      <c r="V179" s="123">
        <f>'Parameters | Agora'!$B$4*1.33551511577807E-06</f>
        <v>7.9391031572543139E-2</v>
      </c>
      <c r="W179" s="123">
        <f>'Parameters | Agora'!$B$4*3.88785344054027E-06</f>
        <v>0.23111733562635689</v>
      </c>
      <c r="X179" s="123">
        <f>'Parameters | Agora'!$B$4*0.000531</f>
        <v>31.565826000000001</v>
      </c>
      <c r="Y179" s="123">
        <f>'Parameters | Agora'!$B$4*0.000429720938137293</f>
        <v>25.545190888509516</v>
      </c>
      <c r="Z179" s="123">
        <f>'Parameters | Agora'!$B$4*0.000384235156384599</f>
        <v>22.841243106438871</v>
      </c>
      <c r="AA179" s="123">
        <f>'Parameters | Agora'!$B$4*0.000443486372088766</f>
        <v>26.363490875188784</v>
      </c>
      <c r="AB179" s="123">
        <f>'Parameters | Agora'!$B$4*0.00000091</f>
        <v>5.4095859999999996E-2</v>
      </c>
      <c r="AC179" s="123">
        <f>'Parameters | Agora'!$B$4*7.12676138577912E-06</f>
        <v>0.42365745733902554</v>
      </c>
      <c r="AD179" s="123">
        <f>'Parameters | Agora'!$B$4*6.96978984264733E-06</f>
        <v>0.41432612698601318</v>
      </c>
      <c r="AE179" s="123">
        <f>'Parameters | Agora'!$B$4*6.96978984264733E-06</f>
        <v>0.41432612698601318</v>
      </c>
      <c r="AF179" s="123">
        <f>'Parameters | Agora'!$B$4*0.000281365323992451</f>
        <v>16.726043050055242</v>
      </c>
      <c r="AG179" s="123">
        <f>'Parameters | Agora'!$B$4*7.31305210025431E-07</f>
        <v>4.3473169515171772E-2</v>
      </c>
      <c r="AH179" s="123">
        <f>'Parameters | Agora'!$B$4*5.99006557242077E-07</f>
        <v>3.5608543801812512E-2</v>
      </c>
      <c r="AI179" s="123">
        <f>'Parameters | Agora'!$B$4*1.38350575301266E-09</f>
        <v>8.224388299359059E-5</v>
      </c>
      <c r="AJ179" s="123">
        <f>'Parameters | Agora'!$B$4*3.81984275755191E-09</f>
        <v>2.2707437256543083E-4</v>
      </c>
    </row>
    <row r="180" spans="1:36">
      <c r="A180" s="120" t="s">
        <v>666</v>
      </c>
      <c r="B180" s="120" t="s">
        <v>667</v>
      </c>
      <c r="C180" s="120" t="s">
        <v>116</v>
      </c>
      <c r="D180" s="120" t="s">
        <v>121</v>
      </c>
      <c r="E180" s="120" t="s">
        <v>316</v>
      </c>
      <c r="F180" s="121">
        <v>2023</v>
      </c>
      <c r="G180" s="123">
        <f>'Parameters | Agora'!$B$4*0.0000309240225488575</f>
        <v>1.8383094444393828</v>
      </c>
      <c r="H180" s="123">
        <f>'Parameters | Agora'!$B$4*2.59532051350803E-06</f>
        <v>0.15428142324599836</v>
      </c>
      <c r="I180" s="123">
        <f>'Parameters | Agora'!$B$4*1.93552708801353E-06</f>
        <v>0.1150593432740523</v>
      </c>
      <c r="J180" s="123">
        <f>'Parameters | Agora'!$B$4*8.63343994036925E-08</f>
        <v>5.1322347069519044E-3</v>
      </c>
      <c r="K180" s="123">
        <f>'Parameters | Agora'!$B$4*4.65920509552288E-07</f>
        <v>2.7697110610845312E-2</v>
      </c>
      <c r="L180" s="123">
        <f>'Parameters | Agora'!$B$4*7.28231373129231E-06</f>
        <v>0.43290442207040264</v>
      </c>
      <c r="M180" s="123">
        <f>'Parameters | Agora'!$B$4*0.000106802809098501</f>
        <v>6.3489997896694907</v>
      </c>
      <c r="N180" s="123">
        <f>'Parameters | Agora'!$B$4*0.0000415804952888731</f>
        <v>2.4717941229423501</v>
      </c>
      <c r="O180" s="123">
        <f>'Parameters | Agora'!$B$4*3.17539234887326E-06</f>
        <v>0.1887643735711198</v>
      </c>
      <c r="P180" s="123">
        <f>'Parameters | Agora'!$B$4*2.54240990319458E-07</f>
        <v>1.5113609910530502E-2</v>
      </c>
      <c r="Q180" s="123">
        <f>'Parameters | Agora'!$B$4*0.00000332</f>
        <v>0.19736071999999999</v>
      </c>
      <c r="R180" s="123">
        <f>'Parameters | Agora'!$B$4*0.000000228</f>
        <v>1.3553688E-2</v>
      </c>
      <c r="S180" s="123">
        <f>'Parameters | Agora'!$B$4*0.000000010795</f>
        <v>6.4171957000000001E-4</v>
      </c>
      <c r="T180" s="123">
        <f>'Parameters | Agora'!$B$4*3.09663406856231E-06</f>
        <v>0.18408250883975508</v>
      </c>
      <c r="U180" s="123">
        <f>'Parameters | Agora'!$B$4*3.82710023049919E-06</f>
        <v>0.22750580030225484</v>
      </c>
      <c r="V180" s="123">
        <f>'Parameters | Agora'!$B$4*3.82710023049919E-06</f>
        <v>0.22750580030225484</v>
      </c>
      <c r="W180" s="123">
        <f>'Parameters | Agora'!$B$4*3.88785344054027E-06</f>
        <v>0.23111733562635689</v>
      </c>
      <c r="X180" s="123">
        <f>'Parameters | Agora'!$B$4*0.000531</f>
        <v>31.565826000000001</v>
      </c>
      <c r="Y180" s="123">
        <f>'Parameters | Agora'!$B$4*0.00044082881899103</f>
        <v>26.205509973740767</v>
      </c>
      <c r="Z180" s="123">
        <f>'Parameters | Agora'!$B$4*0.000428352531661096</f>
        <v>25.463844597125515</v>
      </c>
      <c r="AA180" s="123">
        <f>'Parameters | Agora'!$B$4*0.000442388354907272</f>
        <v>26.298218145817692</v>
      </c>
      <c r="AB180" s="123">
        <f>'Parameters | Agora'!$B$4*0.00000091</f>
        <v>5.4095859999999996E-2</v>
      </c>
      <c r="AC180" s="123">
        <f>'Parameters | Agora'!$B$4*0.000027331020852642</f>
        <v>1.6247198656061563</v>
      </c>
      <c r="AD180" s="123">
        <f>'Parameters | Agora'!$B$4*3.45103588743457E-08</f>
        <v>2.0515027936443544E-3</v>
      </c>
      <c r="AE180" s="123">
        <f>'Parameters | Agora'!$B$4*3.45103588743457E-08</f>
        <v>2.0515027936443544E-3</v>
      </c>
      <c r="AF180" s="123">
        <f>'Parameters | Agora'!$B$4*0.000281365323992451</f>
        <v>16.726043050055242</v>
      </c>
      <c r="AG180" s="123">
        <f>'Parameters | Agora'!$B$4*2.72926182720735E-06</f>
        <v>0.16224369858016813</v>
      </c>
      <c r="AH180" s="123">
        <f>'Parameters | Agora'!$B$4*1.07551041139941E-06</f>
        <v>6.3934791916049324E-2</v>
      </c>
      <c r="AI180" s="123">
        <f>'Parameters | Agora'!$B$4*1.04000820510177E-09</f>
        <v>6.1824327760479818E-5</v>
      </c>
      <c r="AJ180" s="123">
        <f>'Parameters | Agora'!$B$4*2.12879836873317E-08</f>
        <v>1.2654854782771204E-3</v>
      </c>
    </row>
    <row r="181" spans="1:36">
      <c r="A181" s="120" t="s">
        <v>668</v>
      </c>
      <c r="B181" s="120" t="s">
        <v>669</v>
      </c>
      <c r="C181" s="120" t="s">
        <v>115</v>
      </c>
      <c r="D181" s="120" t="s">
        <v>325</v>
      </c>
      <c r="E181" s="120" t="s">
        <v>316</v>
      </c>
      <c r="F181" s="121">
        <v>2023</v>
      </c>
      <c r="G181" s="123">
        <f>'Parameters | Agora'!$B$4*0.0000784578319606374</f>
        <v>4.664004278732051</v>
      </c>
      <c r="H181" s="123">
        <f>'Parameters | Agora'!$B$4*2.59532051350803E-06</f>
        <v>0.15428142324599836</v>
      </c>
      <c r="I181" s="123">
        <f>'Parameters | Agora'!$B$4*5.69884855891149E-07</f>
        <v>3.3877375143305244E-2</v>
      </c>
      <c r="J181" s="123">
        <f>'Parameters | Agora'!$B$4*4.88936917779182E-08</f>
        <v>2.9065344014301254E-3</v>
      </c>
      <c r="K181" s="123">
        <f>'Parameters | Agora'!$B$4*1.3718280880039E-07</f>
        <v>8.1549692519479848E-3</v>
      </c>
      <c r="L181" s="123">
        <f>'Parameters | Agora'!$B$4*7.28231373129231E-06</f>
        <v>0.43290442207040264</v>
      </c>
      <c r="M181" s="123">
        <f>'Parameters | Agora'!$B$4*8.00582678959764E-06</f>
        <v>0.47591437933442132</v>
      </c>
      <c r="N181" s="123">
        <f>'Parameters | Agora'!$B$4*6.23256324386809E-06</f>
        <v>0.3705009545949825</v>
      </c>
      <c r="O181" s="123">
        <f>'Parameters | Agora'!$B$4*4.11887738194669E-06</f>
        <v>0.24485078484720296</v>
      </c>
      <c r="P181" s="123">
        <f>'Parameters | Agora'!$B$4*2.79039685258769E-06</f>
        <v>0.16587793129892783</v>
      </c>
      <c r="Q181" s="123">
        <f>'Parameters | Agora'!$B$4*0.00000332</f>
        <v>0.19736071999999999</v>
      </c>
      <c r="R181" s="123">
        <f>'Parameters | Agora'!$B$4*0.000000228</f>
        <v>1.3553688E-2</v>
      </c>
      <c r="S181" s="123">
        <f>'Parameters | Agora'!$B$4*0.000000010795</f>
        <v>6.4171957000000001E-4</v>
      </c>
      <c r="T181" s="123">
        <f>'Parameters | Agora'!$B$4*7.11567578378761E-07</f>
        <v>4.2299846264303824E-2</v>
      </c>
      <c r="U181" s="123">
        <f>'Parameters | Agora'!$B$4*6.46132007075481E-07</f>
        <v>3.8409963292609046E-2</v>
      </c>
      <c r="V181" s="123">
        <f>'Parameters | Agora'!$B$4*6.46132007075481E-07</f>
        <v>3.8409963292609046E-2</v>
      </c>
      <c r="W181" s="123">
        <f>'Parameters | Agora'!$B$4*3.88785344054027E-06</f>
        <v>0.23111733562635689</v>
      </c>
      <c r="X181" s="123">
        <f>'Parameters | Agora'!$B$4*0.000531</f>
        <v>31.565826000000001</v>
      </c>
      <c r="Y181" s="123">
        <f>'Parameters | Agora'!$B$4*0.00140348479984086</f>
        <v>83.431557411339767</v>
      </c>
      <c r="Z181" s="123">
        <f>'Parameters | Agora'!$B$4*0.00130793276002739</f>
        <v>77.751370852588224</v>
      </c>
      <c r="AA181" s="123">
        <f>'Parameters | Agora'!$B$4*0.00152575031315056</f>
        <v>90.699753115548191</v>
      </c>
      <c r="AB181" s="123">
        <f>'Parameters | Agora'!$B$4*0.00000091</f>
        <v>5.4095859999999996E-2</v>
      </c>
      <c r="AC181" s="123">
        <f>'Parameters | Agora'!$B$4*0.0000693419699193853</f>
        <v>4.1221027438277789</v>
      </c>
      <c r="AD181" s="123">
        <f>'Parameters | Agora'!$B$4*1.22633891436547E-06</f>
        <v>7.2900943103369739E-2</v>
      </c>
      <c r="AE181" s="123">
        <f>'Parameters | Agora'!$B$4*1.22633891436547E-06</f>
        <v>7.2900943103369739E-2</v>
      </c>
      <c r="AF181" s="123">
        <f>'Parameters | Agora'!$B$4*0.000281365323992451</f>
        <v>16.726043050055242</v>
      </c>
      <c r="AG181" s="123">
        <f>'Parameters | Agora'!$B$4*6.39977205058527E-07</f>
        <v>3.8044084931909194E-2</v>
      </c>
      <c r="AH181" s="123">
        <f>'Parameters | Agora'!$B$4*1.22272234122949E-08</f>
        <v>7.268595229672826E-4</v>
      </c>
      <c r="AI181" s="123">
        <f>-'Parameters | Agora'!$B$4*6.51676403516462E-09</f>
        <v>-3.87395554834396E-4</v>
      </c>
      <c r="AJ181" s="123">
        <f>'Parameters | Agora'!$B$4*4.44342639823892E-10</f>
        <v>2.6414392566971085E-5</v>
      </c>
    </row>
    <row r="182" spans="1:36">
      <c r="A182" s="120" t="s">
        <v>670</v>
      </c>
      <c r="B182" s="120" t="s">
        <v>671</v>
      </c>
      <c r="C182" s="120" t="s">
        <v>114</v>
      </c>
      <c r="D182" s="120" t="s">
        <v>325</v>
      </c>
      <c r="E182" s="120" t="s">
        <v>316</v>
      </c>
      <c r="F182" s="121">
        <v>2023</v>
      </c>
      <c r="G182" s="123">
        <f>'Parameters | Agora'!$B$4*0.0000501760891131281</f>
        <v>2.9827677934190131</v>
      </c>
      <c r="H182" s="123">
        <f>'Parameters | Agora'!$B$4*2.59532051350803E-06</f>
        <v>0.15428142324599836</v>
      </c>
      <c r="I182" s="123">
        <f>'Parameters | Agora'!$B$4*0.0000003644581120692</f>
        <v>2.1665576930065662E-2</v>
      </c>
      <c r="J182" s="123">
        <f>'Parameters | Agora'!$B$4*8.62473484142803E-08</f>
        <v>5.1270598738353068E-3</v>
      </c>
      <c r="K182" s="123">
        <f>'Parameters | Agora'!$B$4*8.77324375036384E-08</f>
        <v>5.2153424798412878E-3</v>
      </c>
      <c r="L182" s="123">
        <f>'Parameters | Agora'!$B$4*7.28231373129231E-06</f>
        <v>0.43290442207040264</v>
      </c>
      <c r="M182" s="123">
        <f>'Parameters | Agora'!$B$4*0.0000483625652106115</f>
        <v>2.8749610515100112</v>
      </c>
      <c r="N182" s="123">
        <f>'Parameters | Agora'!$B$4*0.0000443964537454955</f>
        <v>2.6391915893547258</v>
      </c>
      <c r="O182" s="123">
        <f>'Parameters | Agora'!$B$4*0.0000745796739201724</f>
        <v>4.4334632958585685</v>
      </c>
      <c r="P182" s="123">
        <f>'Parameters | Agora'!$B$4*0.000209833552468264</f>
        <v>12.473765360028422</v>
      </c>
      <c r="Q182" s="123">
        <f>'Parameters | Agora'!$B$4*0.00000332</f>
        <v>0.19736071999999999</v>
      </c>
      <c r="R182" s="123">
        <f>'Parameters | Agora'!$B$4*0.000000228</f>
        <v>1.3553688E-2</v>
      </c>
      <c r="S182" s="123">
        <f>'Parameters | Agora'!$B$4*0.000000010795</f>
        <v>6.4171957000000001E-4</v>
      </c>
      <c r="T182" s="123">
        <f>'Parameters | Agora'!$B$4*1.20580377667605E-06</f>
        <v>7.1680211308284461E-2</v>
      </c>
      <c r="U182" s="123">
        <f>'Parameters | Agora'!$B$4*5.92373114740063E-06</f>
        <v>0.35214212178837784</v>
      </c>
      <c r="V182" s="123">
        <f>'Parameters | Agora'!$B$4*5.92373114740063E-06</f>
        <v>0.35214212178837784</v>
      </c>
      <c r="W182" s="123">
        <f>'Parameters | Agora'!$B$4*3.88785344054027E-06</f>
        <v>0.23111733562635689</v>
      </c>
      <c r="X182" s="123">
        <f>'Parameters | Agora'!$B$4*0.000531</f>
        <v>31.565826000000001</v>
      </c>
      <c r="Y182" s="123">
        <f>'Parameters | Agora'!$B$4*0.000764254634506061</f>
        <v>45.431881002847305</v>
      </c>
      <c r="Z182" s="123">
        <f>'Parameters | Agora'!$B$4*0.000737024659404895</f>
        <v>43.813167902983388</v>
      </c>
      <c r="AA182" s="123">
        <f>'Parameters | Agora'!$B$4*0.000825068245565332</f>
        <v>49.04700692587673</v>
      </c>
      <c r="AB182" s="123">
        <f>'Parameters | Agora'!$B$4*0.00000091</f>
        <v>5.4095859999999996E-2</v>
      </c>
      <c r="AC182" s="123">
        <f>'Parameters | Agora'!$B$4*0.0000443462274575788</f>
        <v>2.6362058374432293</v>
      </c>
      <c r="AD182" s="123">
        <f>'Parameters | Agora'!$B$4*7.05554574454582E-07</f>
        <v>4.1942397233027083E-2</v>
      </c>
      <c r="AE182" s="123">
        <f>'Parameters | Agora'!$B$4*7.05554574454582E-07</f>
        <v>4.1942397233027083E-2</v>
      </c>
      <c r="AF182" s="123">
        <f>'Parameters | Agora'!$B$4*0.000281365323992451</f>
        <v>16.726043050055242</v>
      </c>
      <c r="AG182" s="123">
        <f>'Parameters | Agora'!$B$4*7.53413314707313E-07</f>
        <v>4.4787407906090933E-2</v>
      </c>
      <c r="AH182" s="123">
        <f>'Parameters | Agora'!$B$4*5.01355677880131E-06</f>
        <v>0.29803589627262272</v>
      </c>
      <c r="AI182" s="123">
        <f>'Parameters | Agora'!$B$4*1.5138553514466E-07</f>
        <v>8.9992645222094578E-3</v>
      </c>
      <c r="AJ182" s="123">
        <f>'Parameters | Agora'!$B$4*5.37551874734214E-09</f>
        <v>3.1955308745450082E-4</v>
      </c>
    </row>
    <row r="183" spans="1:36">
      <c r="A183" s="120" t="s">
        <v>672</v>
      </c>
      <c r="B183" s="120" t="s">
        <v>673</v>
      </c>
      <c r="C183" s="120" t="s">
        <v>116</v>
      </c>
      <c r="D183" s="120">
        <v>0</v>
      </c>
      <c r="E183" s="120" t="s">
        <v>316</v>
      </c>
      <c r="F183" s="121">
        <v>2023</v>
      </c>
      <c r="G183" s="123">
        <f>'Parameters | Agora'!$B$4*0.0000940184354415261</f>
        <v>5.5890199132569611</v>
      </c>
      <c r="H183" s="123">
        <f>'Parameters | Agora'!$B$4*2.59532051350803E-06</f>
        <v>0.15428142324599836</v>
      </c>
      <c r="I183" s="123">
        <f>'Parameters | Agora'!$B$4*6.82910567291568E-07</f>
        <v>4.0596301583214547E-2</v>
      </c>
      <c r="J183" s="123">
        <f>'Parameters | Agora'!$B$4*8.63343994036925E-08</f>
        <v>5.1322347069519044E-3</v>
      </c>
      <c r="K183" s="123">
        <f>'Parameters | Agora'!$B$4*1.64390383095948E-07</f>
        <v>9.7723507135217252E-3</v>
      </c>
      <c r="L183" s="123">
        <f>'Parameters | Agora'!$B$4*7.28231373129231E-06</f>
        <v>0.43290442207040264</v>
      </c>
      <c r="M183" s="123">
        <f>'Parameters | Agora'!$B$4*0.000147190974403132</f>
        <v>8.7499146643685854</v>
      </c>
      <c r="N183" s="123">
        <f>'Parameters | Agora'!$B$4*0.0000447152112568937</f>
        <v>2.6581404483773028</v>
      </c>
      <c r="O183" s="123">
        <f>'Parameters | Agora'!$B$4*0.0000823551906285966</f>
        <v>4.8956866621075532</v>
      </c>
      <c r="P183" s="123">
        <f>'Parameters | Agora'!$B$4*0.0000568128337232782</f>
        <v>3.3772957135139956</v>
      </c>
      <c r="Q183" s="123">
        <f>'Parameters | Agora'!$B$4*0.00000332</f>
        <v>0.19736071999999999</v>
      </c>
      <c r="R183" s="123">
        <f>'Parameters | Agora'!$B$4*0.000000228</f>
        <v>1.3553688E-2</v>
      </c>
      <c r="S183" s="123">
        <f>'Parameters | Agora'!$B$4*0.000000010795</f>
        <v>6.4171957000000001E-4</v>
      </c>
      <c r="T183" s="123">
        <f>'Parameters | Agora'!$B$4*1.60647403695923E-06</f>
        <v>9.5498455601078377E-2</v>
      </c>
      <c r="U183" s="123">
        <f>'Parameters | Agora'!$B$4*3.95032972300179E-06</f>
        <v>0.23483130071356442</v>
      </c>
      <c r="V183" s="123">
        <f>'Parameters | Agora'!$B$4*3.95032972300179E-06</f>
        <v>0.23483130071356442</v>
      </c>
      <c r="W183" s="123">
        <f>'Parameters | Agora'!$B$4*3.88785344054027E-06</f>
        <v>0.23111733562635689</v>
      </c>
      <c r="X183" s="123">
        <f>'Parameters | Agora'!$B$4*0.000531</f>
        <v>31.565826000000001</v>
      </c>
      <c r="Y183" s="123">
        <f>'Parameters | Agora'!$B$4*0.00051436785500811</f>
        <v>30.577111508812109</v>
      </c>
      <c r="Z183" s="123">
        <f>'Parameters | Agora'!$B$4*0.000505483030862381</f>
        <v>30.048944252645104</v>
      </c>
      <c r="AA183" s="123">
        <f>'Parameters | Agora'!$B$4*0.00052515657004221</f>
        <v>31.218457462729216</v>
      </c>
      <c r="AB183" s="123">
        <f>'Parameters | Agora'!$B$4*0.00000091</f>
        <v>5.4095859999999996E-2</v>
      </c>
      <c r="AC183" s="123">
        <f>'Parameters | Agora'!$B$4*0.0000830946173165325</f>
        <v>4.9396426209985913</v>
      </c>
      <c r="AD183" s="123">
        <f>'Parameters | Agora'!$B$4*1.95561146949575E-06</f>
        <v>0.11625327941564437</v>
      </c>
      <c r="AE183" s="123">
        <f>'Parameters | Agora'!$B$4*1.95561146949575E-06</f>
        <v>0.11625327941564437</v>
      </c>
      <c r="AF183" s="123">
        <f>'Parameters | Agora'!$B$4*0.000281365323992451</f>
        <v>16.726043050055242</v>
      </c>
      <c r="AG183" s="123">
        <f>'Parameters | Agora'!$B$4*9.54873262452727E-07</f>
        <v>5.6763395959764811E-2</v>
      </c>
      <c r="AH183" s="123">
        <f>'Parameters | Agora'!$B$4*2.80000735793206E-06</f>
        <v>0.16644923739962925</v>
      </c>
      <c r="AI183" s="123">
        <f>'Parameters | Agora'!$B$4*1.85353907621006E-07</f>
        <v>1.1018548392438323E-2</v>
      </c>
      <c r="AJ183" s="123">
        <f>'Parameters | Agora'!$B$4*1.00951949959874E-08</f>
        <v>6.00118961731467E-4</v>
      </c>
    </row>
    <row r="184" spans="1:36">
      <c r="A184" s="120" t="s">
        <v>674</v>
      </c>
      <c r="B184" s="120" t="s">
        <v>675</v>
      </c>
      <c r="C184" s="120" t="s">
        <v>114</v>
      </c>
      <c r="D184" s="120" t="s">
        <v>325</v>
      </c>
      <c r="E184" s="120" t="s">
        <v>316</v>
      </c>
      <c r="F184" s="121">
        <v>2023</v>
      </c>
      <c r="G184" s="123">
        <f>'Parameters | Agora'!$B$4*0.00008527781842083</f>
        <v>5.0694251938446602</v>
      </c>
      <c r="H184" s="123">
        <f>'Parameters | Agora'!$B$4*2.59532051350803E-06</f>
        <v>0.15428142324599836</v>
      </c>
      <c r="I184" s="123">
        <f>'Parameters | Agora'!$B$4*6.19422383298181E-07</f>
        <v>3.6822182997543668E-2</v>
      </c>
      <c r="J184" s="123">
        <f>'Parameters | Agora'!$B$4*8.62473484142803E-08</f>
        <v>5.1270598738353068E-3</v>
      </c>
      <c r="K184" s="123">
        <f>'Parameters | Agora'!$B$4*1.49107493375656E-07</f>
        <v>8.8638440512092461E-3</v>
      </c>
      <c r="L184" s="123">
        <f>'Parameters | Agora'!$B$4*7.28231373129231E-06</f>
        <v>0.43290442207040264</v>
      </c>
      <c r="M184" s="123">
        <f>'Parameters | Agora'!$B$4*0.0000673478666635449</f>
        <v>4.0035612816810904</v>
      </c>
      <c r="N184" s="123">
        <f>'Parameters | Agora'!$B$4*0.000128393258900164</f>
        <v>7.6324656685791492</v>
      </c>
      <c r="O184" s="123">
        <f>'Parameters | Agora'!$B$4*0</f>
        <v>0</v>
      </c>
      <c r="P184" s="123">
        <f>'Parameters | Agora'!$B$4*0.000896981050455605</f>
        <v>53.321935525383893</v>
      </c>
      <c r="Q184" s="123">
        <f>'Parameters | Agora'!$B$4*0.00000332</f>
        <v>0.19736071999999999</v>
      </c>
      <c r="R184" s="123">
        <f>'Parameters | Agora'!$B$4*0.000000228</f>
        <v>1.3553688E-2</v>
      </c>
      <c r="S184" s="123">
        <f>'Parameters | Agora'!$B$4*0.000000010795</f>
        <v>6.4171957000000001E-4</v>
      </c>
      <c r="T184" s="123">
        <f>'Parameters | Agora'!$B$4*1.27471611523275E-06</f>
        <v>7.577677418612605E-2</v>
      </c>
      <c r="U184" s="123">
        <f>'Parameters | Agora'!$B$4*5.20206543649264E-06</f>
        <v>0.30924198193774149</v>
      </c>
      <c r="V184" s="123">
        <f>'Parameters | Agora'!$B$4*5.20206543649264E-06</f>
        <v>0.30924198193774149</v>
      </c>
      <c r="W184" s="123">
        <f>'Parameters | Agora'!$B$4*3.88785344054027E-06</f>
        <v>0.23111733562635689</v>
      </c>
      <c r="X184" s="123">
        <f>'Parameters | Agora'!$B$4*0.000531</f>
        <v>31.565826000000001</v>
      </c>
      <c r="Y184" s="123">
        <f>'Parameters | Agora'!$B$4*0.000894306027859309</f>
        <v>53.162916132124487</v>
      </c>
      <c r="Z184" s="123">
        <f>'Parameters | Agora'!$B$4*0.000756457037447295</f>
        <v>44.968345048091898</v>
      </c>
      <c r="AA184" s="123">
        <f>'Parameters | Agora'!$B$4*0.00094696262978688</f>
        <v>56.293140490310869</v>
      </c>
      <c r="AB184" s="123">
        <f>'Parameters | Agora'!$B$4*0.00000091</f>
        <v>5.4095859999999996E-2</v>
      </c>
      <c r="AC184" s="123">
        <f>'Parameters | Agora'!$B$4*0.0000753695554918563</f>
        <v>4.4804185957688896</v>
      </c>
      <c r="AD184" s="123">
        <f>'Parameters | Agora'!$B$4*1.01162425216082E-06</f>
        <v>6.0137015293952108E-2</v>
      </c>
      <c r="AE184" s="123">
        <f>'Parameters | Agora'!$B$4*1.01162425216082E-06</f>
        <v>6.0137015293952108E-2</v>
      </c>
      <c r="AF184" s="123">
        <f>'Parameters | Agora'!$B$4*0.000281365323992451</f>
        <v>16.726043050055242</v>
      </c>
      <c r="AG184" s="123">
        <f>'Parameters | Agora'!$B$4*8.34301884376806E-07</f>
        <v>4.959590981866361E-2</v>
      </c>
      <c r="AH184" s="123">
        <f>'Parameters | Agora'!$B$4*4.24579316709982E-06</f>
        <v>0.2523954206114159</v>
      </c>
      <c r="AI184" s="123">
        <f>'Parameters | Agora'!$B$4*1.13897796488451E-07</f>
        <v>6.7707684100524581E-3</v>
      </c>
      <c r="AJ184" s="123">
        <f>'Parameters | Agora'!$B$4*8.07258852756057E-09</f>
        <v>4.7988309760936559E-4</v>
      </c>
    </row>
    <row r="185" spans="1:36">
      <c r="A185" s="120" t="s">
        <v>676</v>
      </c>
      <c r="B185" s="120" t="s">
        <v>677</v>
      </c>
      <c r="C185" s="120" t="s">
        <v>117</v>
      </c>
      <c r="D185" s="120" t="s">
        <v>322</v>
      </c>
      <c r="E185" s="120" t="s">
        <v>316</v>
      </c>
      <c r="F185" s="121">
        <v>2023</v>
      </c>
      <c r="G185" s="123">
        <f>'Parameters | Agora'!$B$4*0.0000607153898519591</f>
        <v>3.609287065139561</v>
      </c>
      <c r="H185" s="123">
        <f>'Parameters | Agora'!$B$4*2.59532051350803E-06</f>
        <v>0.15428142324599836</v>
      </c>
      <c r="I185" s="123">
        <f>'Parameters | Agora'!$B$4*2.78293246619237E-07</f>
        <v>1.6543420338527161E-2</v>
      </c>
      <c r="J185" s="123">
        <f>'Parameters | Agora'!$B$4*1.25062212908419E-07</f>
        <v>7.4344483085538758E-3</v>
      </c>
      <c r="K185" s="123">
        <f>'Parameters | Agora'!$B$4*6.69908119978163E-08</f>
        <v>3.9823358100221874E-3</v>
      </c>
      <c r="L185" s="123">
        <f>'Parameters | Agora'!$B$4*7.28231373129231E-06</f>
        <v>0.43290442207040264</v>
      </c>
      <c r="M185" s="123">
        <f>'Parameters | Agora'!$B$4*1.75551349652223E-07</f>
        <v>1.0435825531426048E-2</v>
      </c>
      <c r="N185" s="123">
        <f>'Parameters | Agora'!$B$4*2.46516298184743E-07</f>
        <v>1.4654407861890232E-2</v>
      </c>
      <c r="O185" s="123">
        <f>'Parameters | Agora'!$B$4*2.33887615330177E-06</f>
        <v>0.139036831809177</v>
      </c>
      <c r="P185" s="123">
        <f>'Parameters | Agora'!$B$4*0.0000013910301381829</f>
        <v>8.269117759442067E-2</v>
      </c>
      <c r="Q185" s="123">
        <f>'Parameters | Agora'!$B$4*0.00000332</f>
        <v>0.19736071999999999</v>
      </c>
      <c r="R185" s="123">
        <f>'Parameters | Agora'!$B$4*0.000000228</f>
        <v>1.3553688E-2</v>
      </c>
      <c r="S185" s="123">
        <f>'Parameters | Agora'!$B$4*0.000000010795</f>
        <v>6.4171957000000001E-4</v>
      </c>
      <c r="T185" s="123">
        <f>'Parameters | Agora'!$B$4*2.02952173646618E-07</f>
        <v>1.2064694914596854E-2</v>
      </c>
      <c r="U185" s="123">
        <f>'Parameters | Agora'!$B$4*1.69122401189648E-07</f>
        <v>1.0053650261119816E-2</v>
      </c>
      <c r="V185" s="123">
        <f>'Parameters | Agora'!$B$4*1.69122401189648E-07</f>
        <v>1.0053650261119816E-2</v>
      </c>
      <c r="W185" s="123">
        <f>'Parameters | Agora'!$B$4*3.88785344054027E-06</f>
        <v>0.23111733562635689</v>
      </c>
      <c r="X185" s="123">
        <f>'Parameters | Agora'!$B$4*0.000531</f>
        <v>31.565826000000001</v>
      </c>
      <c r="Y185" s="123">
        <f>'Parameters | Agora'!$B$4*0.000669148936170213</f>
        <v>39.778227659574483</v>
      </c>
      <c r="Z185" s="123">
        <f>'Parameters | Agora'!$B$4*0.000618778218067848</f>
        <v>36.783889951261294</v>
      </c>
      <c r="AA185" s="123">
        <f>'Parameters | Agora'!$B$4*0.000680438924710398</f>
        <v>40.449372318334319</v>
      </c>
      <c r="AB185" s="123">
        <f>'Parameters | Agora'!$B$4*0.00000091</f>
        <v>5.4095859999999996E-2</v>
      </c>
      <c r="AC185" s="123">
        <f>'Parameters | Agora'!$B$4*0.0000536609874571928</f>
        <v>3.1899310603802831</v>
      </c>
      <c r="AD185" s="123">
        <f>'Parameters | Agora'!$B$4*5.65957076583869E-07</f>
        <v>3.364388437460468E-2</v>
      </c>
      <c r="AE185" s="123">
        <f>'Parameters | Agora'!$B$4*5.65957076583869E-07</f>
        <v>3.364388437460468E-2</v>
      </c>
      <c r="AF185" s="123">
        <f>'Parameters | Agora'!$B$4*0.000281365323992451</f>
        <v>16.726043050055242</v>
      </c>
      <c r="AG185" s="123">
        <f>'Parameters | Agora'!$B$4*1.39570599667361E-07</f>
        <v>8.2969138678259426E-3</v>
      </c>
      <c r="AH185" s="123">
        <f>'Parameters | Agora'!$B$4*2.95692106382551E-08</f>
        <v>1.7577712956017128E-3</v>
      </c>
      <c r="AI185" s="123">
        <f>-'Parameters | Agora'!$B$4*9.38092502307519E-10</f>
        <v>-5.5765846892172769E-5</v>
      </c>
      <c r="AJ185" s="123">
        <f>'Parameters | Agora'!$B$4*9.20683386339531E-10</f>
        <v>5.4730944584339755E-5</v>
      </c>
    </row>
    <row r="186" spans="1:36">
      <c r="A186" s="120" t="s">
        <v>678</v>
      </c>
      <c r="B186" s="120" t="s">
        <v>679</v>
      </c>
      <c r="C186" s="120" t="s">
        <v>117</v>
      </c>
      <c r="D186" s="120" t="s">
        <v>319</v>
      </c>
      <c r="E186" s="120" t="s">
        <v>316</v>
      </c>
      <c r="F186" s="121">
        <v>2023</v>
      </c>
      <c r="G186" s="123">
        <f>'Parameters | Agora'!$B$4*0.000266667168897492</f>
        <v>15.85229652228031</v>
      </c>
      <c r="H186" s="123">
        <f>'Parameters | Agora'!$B$4*2.59532051350803E-06</f>
        <v>0.15428142324599836</v>
      </c>
      <c r="I186" s="123">
        <f>'Parameters | Agora'!$B$4*1.93695871171015E-06</f>
        <v>0.11514444757632157</v>
      </c>
      <c r="J186" s="123">
        <f>'Parameters | Agora'!$B$4*1.25062212908419E-07</f>
        <v>7.4344483085538758E-3</v>
      </c>
      <c r="K186" s="123">
        <f>'Parameters | Agora'!$B$4*4.66265130325795E-07</f>
        <v>2.7717596937347207E-2</v>
      </c>
      <c r="L186" s="123">
        <f>'Parameters | Agora'!$B$4*7.28231373129231E-06</f>
        <v>0.43290442207040264</v>
      </c>
      <c r="M186" s="123">
        <f>'Parameters | Agora'!$B$4*0</f>
        <v>0</v>
      </c>
      <c r="N186" s="123">
        <f>'Parameters | Agora'!$B$4*0</f>
        <v>0</v>
      </c>
      <c r="O186" s="123">
        <f>'Parameters | Agora'!$B$4*1.40564864942871E-08</f>
        <v>8.3560189613939094E-4</v>
      </c>
      <c r="P186" s="123">
        <f>'Parameters | Agora'!$B$4*1.30804508749193E-08</f>
        <v>7.7758048271045271E-4</v>
      </c>
      <c r="Q186" s="123">
        <f>'Parameters | Agora'!$B$4*0.00000332</f>
        <v>0.19736071999999999</v>
      </c>
      <c r="R186" s="123">
        <f>'Parameters | Agora'!$B$4*0.000000228</f>
        <v>1.3553688E-2</v>
      </c>
      <c r="S186" s="123">
        <f>'Parameters | Agora'!$B$4*0.000000010795</f>
        <v>6.4171957000000001E-4</v>
      </c>
      <c r="T186" s="123">
        <f>'Parameters | Agora'!$B$4*2.51383557524566E-07</f>
        <v>1.4943746960605351E-2</v>
      </c>
      <c r="U186" s="123">
        <f>'Parameters | Agora'!$B$4*1.40060002066131E-07</f>
        <v>8.3260068828232229E-3</v>
      </c>
      <c r="V186" s="123">
        <f>'Parameters | Agora'!$B$4*1.40060002066131E-07</f>
        <v>8.3260068828232229E-3</v>
      </c>
      <c r="W186" s="123">
        <f>'Parameters | Agora'!$B$4*3.88785344054027E-06</f>
        <v>0.23111733562635689</v>
      </c>
      <c r="X186" s="123">
        <f>'Parameters | Agora'!$B$4*0.000531</f>
        <v>31.565826000000001</v>
      </c>
      <c r="Y186" s="123">
        <f>'Parameters | Agora'!$B$4*0.00133456729089431</f>
        <v>79.334687174503145</v>
      </c>
      <c r="Z186" s="123">
        <f>'Parameters | Agora'!$B$4*0.00129094769186484</f>
        <v>76.741676490597271</v>
      </c>
      <c r="AA186" s="123">
        <f>'Parameters | Agora'!$B$4*0.00138043201634441</f>
        <v>82.061161643609793</v>
      </c>
      <c r="AB186" s="123">
        <f>'Parameters | Agora'!$B$4*0.00000091</f>
        <v>5.4095859999999996E-2</v>
      </c>
      <c r="AC186" s="123">
        <f>'Parameters | Agora'!$B$4*0.000235683632112784</f>
        <v>14.010449194576559</v>
      </c>
      <c r="AD186" s="123">
        <f>'Parameters | Agora'!$B$4*4.41508781640545E-06</f>
        <v>0.26245931033403841</v>
      </c>
      <c r="AE186" s="123">
        <f>'Parameters | Agora'!$B$4*4.41508781640545E-06</f>
        <v>0.26245931033403841</v>
      </c>
      <c r="AF186" s="123">
        <f>'Parameters | Agora'!$B$4*0.000281365323992451</f>
        <v>16.726043050055242</v>
      </c>
      <c r="AG186" s="123">
        <f>'Parameters | Agora'!$B$4*0</f>
        <v>0</v>
      </c>
      <c r="AH186" s="123">
        <f>'Parameters | Agora'!$B$4*1.11303772381545E-07</f>
        <v>6.6165640529933234E-3</v>
      </c>
      <c r="AI186" s="123">
        <f>'Parameters | Agora'!$B$4*2.72036307469392E-08</f>
        <v>1.6171470333825478E-3</v>
      </c>
      <c r="AJ186" s="123">
        <f>'Parameters | Agora'!$B$4*1.55259893764681E-09</f>
        <v>9.2295796447352266E-5</v>
      </c>
    </row>
    <row r="187" spans="1:36">
      <c r="A187" s="120" t="s">
        <v>680</v>
      </c>
      <c r="B187" s="120" t="s">
        <v>681</v>
      </c>
      <c r="C187" s="120" t="s">
        <v>119</v>
      </c>
      <c r="D187" s="120" t="s">
        <v>325</v>
      </c>
      <c r="E187" s="120" t="s">
        <v>316</v>
      </c>
      <c r="F187" s="121">
        <v>2023</v>
      </c>
      <c r="G187" s="123">
        <f>'Parameters | Agora'!$B$4*0.000131071636847696</f>
        <v>7.7916845240481356</v>
      </c>
      <c r="H187" s="123">
        <f>'Parameters | Agora'!$B$4*2.59532051350803E-06</f>
        <v>0.15428142324599836</v>
      </c>
      <c r="I187" s="123">
        <f>'Parameters | Agora'!$B$4*9.5204951513115E-07</f>
        <v>5.6595535476486346E-2</v>
      </c>
      <c r="J187" s="123">
        <f>'Parameters | Agora'!$B$4*2.24299408328451E-07</f>
        <v>1.3333702627493097E-2</v>
      </c>
      <c r="K187" s="123">
        <f>'Parameters | Agora'!$B$4*2.29177570262872E-07</f>
        <v>1.3623689841846689E-2</v>
      </c>
      <c r="L187" s="123">
        <f>'Parameters | Agora'!$B$4*7.28231373129231E-06</f>
        <v>0.43290442207040264</v>
      </c>
      <c r="M187" s="123">
        <f>'Parameters | Agora'!$B$4*0.000297254520833022</f>
        <v>17.670592245439824</v>
      </c>
      <c r="N187" s="123">
        <f>'Parameters | Agora'!$B$4*0.000606875952720864</f>
        <v>36.076347885444484</v>
      </c>
      <c r="O187" s="123">
        <f>'Parameters | Agora'!$B$4*0</f>
        <v>0</v>
      </c>
      <c r="P187" s="123">
        <f>'Parameters | Agora'!$B$4*0.000149410322474314</f>
        <v>8.8818460298080701</v>
      </c>
      <c r="Q187" s="123">
        <f>'Parameters | Agora'!$B$4*0.00000332</f>
        <v>0.19736071999999999</v>
      </c>
      <c r="R187" s="123">
        <f>'Parameters | Agora'!$B$4*0.000000228</f>
        <v>1.3553688E-2</v>
      </c>
      <c r="S187" s="123">
        <f>'Parameters | Agora'!$B$4*0.000000010795</f>
        <v>6.4171957000000001E-4</v>
      </c>
      <c r="T187" s="123">
        <f>'Parameters | Agora'!$B$4*1.56309684774712E-06</f>
        <v>9.2919855211175295E-2</v>
      </c>
      <c r="U187" s="123">
        <f>'Parameters | Agora'!$B$4*2.02154670186905E-06</f>
        <v>0.12017286523930754</v>
      </c>
      <c r="V187" s="123">
        <f>'Parameters | Agora'!$B$4*2.02154670186905E-06</f>
        <v>0.12017286523930754</v>
      </c>
      <c r="W187" s="123">
        <f>'Parameters | Agora'!$B$4*3.88785344054027E-06</f>
        <v>0.23111733562635689</v>
      </c>
      <c r="X187" s="123">
        <f>'Parameters | Agora'!$B$4*0.000531</f>
        <v>31.565826000000001</v>
      </c>
      <c r="Y187" s="123">
        <f>'Parameters | Agora'!$B$4*0.000599906645524119</f>
        <v>35.662050449826772</v>
      </c>
      <c r="Z187" s="123">
        <f>'Parameters | Agora'!$B$4*0.000571508697807001</f>
        <v>33.97390604983498</v>
      </c>
      <c r="AA187" s="123">
        <f>'Parameters | Agora'!$B$4*0.000669126643084594</f>
        <v>39.776902424806771</v>
      </c>
      <c r="AB187" s="123">
        <f>'Parameters | Agora'!$B$4*0.00000091</f>
        <v>5.4095859999999996E-2</v>
      </c>
      <c r="AC187" s="123">
        <f>'Parameters | Agora'!$B$4*0.000115842679723006</f>
        <v>6.8863839388138146</v>
      </c>
      <c r="AD187" s="123">
        <f>'Parameters | Agora'!$B$4*1.15017681863818E-06</f>
        <v>6.8373411160765243E-2</v>
      </c>
      <c r="AE187" s="123">
        <f>'Parameters | Agora'!$B$4*1.15017681863818E-06</f>
        <v>6.8373411160765243E-2</v>
      </c>
      <c r="AF187" s="123">
        <f>'Parameters | Agora'!$B$4*0.000281365323992451</f>
        <v>16.726043050055242</v>
      </c>
      <c r="AG187" s="123">
        <f>'Parameters | Agora'!$B$4*1.32561262674884E-06</f>
        <v>7.8802368209711537E-2</v>
      </c>
      <c r="AH187" s="123">
        <f>'Parameters | Agora'!$B$4*6.68005400777211E-07</f>
        <v>3.9710249054602083E-2</v>
      </c>
      <c r="AI187" s="123">
        <f>'Parameters | Agora'!$B$4*2.03633984496631E-08</f>
        <v>1.2105225842386725E-3</v>
      </c>
      <c r="AJ187" s="123">
        <f>'Parameters | Agora'!$B$4*7.56527589333468E-09</f>
        <v>4.4972539075517338E-4</v>
      </c>
    </row>
    <row r="188" spans="1:36">
      <c r="A188" s="120" t="s">
        <v>682</v>
      </c>
      <c r="B188" s="120" t="s">
        <v>683</v>
      </c>
      <c r="C188" s="120" t="s">
        <v>119</v>
      </c>
      <c r="D188" s="120" t="s">
        <v>325</v>
      </c>
      <c r="E188" s="120" t="s">
        <v>316</v>
      </c>
      <c r="F188" s="121">
        <v>2023</v>
      </c>
      <c r="G188" s="123">
        <f>'Parameters | Agora'!$B$4*0.000147004130995098</f>
        <v>8.7388075711345952</v>
      </c>
      <c r="H188" s="123">
        <f>'Parameters | Agora'!$B$4*2.59532051350803E-06</f>
        <v>0.15428142324599836</v>
      </c>
      <c r="I188" s="123">
        <f>'Parameters | Agora'!$B$4*1.06777648469277E-06</f>
        <v>6.3475040909046404E-2</v>
      </c>
      <c r="J188" s="123">
        <f>'Parameters | Agora'!$B$4*2.24299408328451E-07</f>
        <v>1.3333702627493097E-2</v>
      </c>
      <c r="K188" s="123">
        <f>'Parameters | Agora'!$B$4*2.57035392021611E-07</f>
        <v>1.5279725914116686E-2</v>
      </c>
      <c r="L188" s="123">
        <f>'Parameters | Agora'!$B$4*7.28231373129231E-06</f>
        <v>0.43290442207040264</v>
      </c>
      <c r="M188" s="123">
        <f>'Parameters | Agora'!$B$4*0.00010708361441972</f>
        <v>6.3656925427946751</v>
      </c>
      <c r="N188" s="123">
        <f>'Parameters | Agora'!$B$4*0.0000396428287456125</f>
        <v>2.3566075976116805</v>
      </c>
      <c r="O188" s="123">
        <f>'Parameters | Agora'!$B$4*0.000218277777605591</f>
        <v>12.975740767541962</v>
      </c>
      <c r="P188" s="123">
        <f>'Parameters | Agora'!$B$4*0.0000880045112080305</f>
        <v>5.2315161732725812</v>
      </c>
      <c r="Q188" s="123">
        <f>'Parameters | Agora'!$B$4*0.00000332</f>
        <v>0.19736071999999999</v>
      </c>
      <c r="R188" s="123">
        <f>'Parameters | Agora'!$B$4*0.000000228</f>
        <v>1.3553688E-2</v>
      </c>
      <c r="S188" s="123">
        <f>'Parameters | Agora'!$B$4*0.000000010795</f>
        <v>6.4171957000000001E-4</v>
      </c>
      <c r="T188" s="123">
        <f>'Parameters | Agora'!$B$4*1.67453159794705E-06</f>
        <v>9.9544205371560335E-2</v>
      </c>
      <c r="U188" s="123">
        <f>'Parameters | Agora'!$B$4*1.48069516702256E-06</f>
        <v>8.8021404898823111E-2</v>
      </c>
      <c r="V188" s="123">
        <f>'Parameters | Agora'!$B$4*1.48069516702256E-06</f>
        <v>8.8021404898823111E-2</v>
      </c>
      <c r="W188" s="123">
        <f>'Parameters | Agora'!$B$4*3.88785344054027E-06</f>
        <v>0.23111733562635689</v>
      </c>
      <c r="X188" s="123">
        <f>'Parameters | Agora'!$B$4*0.000531</f>
        <v>31.565826000000001</v>
      </c>
      <c r="Y188" s="123">
        <f>'Parameters | Agora'!$B$4*0.000597393183433127</f>
        <v>35.512635182365663</v>
      </c>
      <c r="Z188" s="123">
        <f>'Parameters | Agora'!$B$4*0.00056359570975266</f>
        <v>33.503510561956631</v>
      </c>
      <c r="AA188" s="123">
        <f>'Parameters | Agora'!$B$4*0.000660877627238329</f>
        <v>39.28653142880971</v>
      </c>
      <c r="AB188" s="123">
        <f>'Parameters | Agora'!$B$4*0.00000091</f>
        <v>5.4095859999999996E-2</v>
      </c>
      <c r="AC188" s="123">
        <f>'Parameters | Agora'!$B$4*0.000129924008537499</f>
        <v>7.7234626115201657</v>
      </c>
      <c r="AD188" s="123">
        <f>'Parameters | Agora'!$B$4*1.95731774062911E-06</f>
        <v>0.11635471040943807</v>
      </c>
      <c r="AE188" s="123">
        <f>'Parameters | Agora'!$B$4*1.95731774062911E-06</f>
        <v>0.11635471040943807</v>
      </c>
      <c r="AF188" s="123">
        <f>'Parameters | Agora'!$B$4*0.000281365323992451</f>
        <v>16.726043050055242</v>
      </c>
      <c r="AG188" s="123">
        <f>'Parameters | Agora'!$B$4*1.47306735673003E-06</f>
        <v>8.7567962088173371E-2</v>
      </c>
      <c r="AH188" s="123">
        <f>'Parameters | Agora'!$B$4*2.42865911940849E-11</f>
        <v>1.443740700123571E-6</v>
      </c>
      <c r="AI188" s="123">
        <f>'Parameters | Agora'!$B$4*4.39943226914506E-09</f>
        <v>2.6152865067159724E-4</v>
      </c>
      <c r="AJ188" s="123">
        <f>'Parameters | Agora'!$B$4*3.20409143218641E-09</f>
        <v>1.9047041927775332E-4</v>
      </c>
    </row>
    <row r="189" spans="1:36">
      <c r="A189" s="120" t="s">
        <v>684</v>
      </c>
      <c r="B189" s="120" t="s">
        <v>685</v>
      </c>
      <c r="C189" s="120" t="s">
        <v>115</v>
      </c>
      <c r="D189" s="120" t="s">
        <v>322</v>
      </c>
      <c r="E189" s="120" t="s">
        <v>316</v>
      </c>
      <c r="F189" s="121">
        <v>2023</v>
      </c>
      <c r="G189" s="123">
        <f>'Parameters | Agora'!$B$4*0.0000229394233639519</f>
        <v>1.3636569612934846</v>
      </c>
      <c r="H189" s="123">
        <f>'Parameters | Agora'!$B$4*2.59532051350803E-06</f>
        <v>0.15428142324599836</v>
      </c>
      <c r="I189" s="123">
        <f>'Parameters | Agora'!$B$4*3.93586580732525E-07</f>
        <v>2.339714787822568E-2</v>
      </c>
      <c r="J189" s="123">
        <f>'Parameters | Agora'!$B$4*4.88936917779182E-08</f>
        <v>2.9065344014301254E-3</v>
      </c>
      <c r="K189" s="123">
        <f>'Parameters | Agora'!$B$4*9.47442489353364E-08</f>
        <v>5.6321666222100076E-3</v>
      </c>
      <c r="L189" s="123">
        <f>'Parameters | Agora'!$B$4*7.28231373129231E-06</f>
        <v>0.43290442207040264</v>
      </c>
      <c r="M189" s="123">
        <f>'Parameters | Agora'!$B$4*0.00002184469659868</f>
        <v>1.2985798340051313</v>
      </c>
      <c r="N189" s="123">
        <f>'Parameters | Agora'!$B$4*0.0000246332079319687</f>
        <v>1.4643456787238114</v>
      </c>
      <c r="O189" s="123">
        <f>'Parameters | Agora'!$B$4*0.0000273264181741239</f>
        <v>1.6244462547789695</v>
      </c>
      <c r="P189" s="123">
        <f>'Parameters | Agora'!$B$4*0.0000354454715219884</f>
        <v>2.1070915000961228</v>
      </c>
      <c r="Q189" s="123">
        <f>'Parameters | Agora'!$B$4*0.00000332</f>
        <v>0.19736071999999999</v>
      </c>
      <c r="R189" s="123">
        <f>'Parameters | Agora'!$B$4*0.000000228</f>
        <v>1.3553688E-2</v>
      </c>
      <c r="S189" s="123">
        <f>'Parameters | Agora'!$B$4*0.000000010795</f>
        <v>6.4171957000000001E-4</v>
      </c>
      <c r="T189" s="123">
        <f>'Parameters | Agora'!$B$4*5.01281267320139E-07</f>
        <v>2.9799166217112979E-2</v>
      </c>
      <c r="U189" s="123">
        <f>'Parameters | Agora'!$B$4*4.76506783974981E-07</f>
        <v>2.8326422280176719E-2</v>
      </c>
      <c r="V189" s="123">
        <f>'Parameters | Agora'!$B$4*4.76506783974981E-07</f>
        <v>2.8326422280176719E-2</v>
      </c>
      <c r="W189" s="123">
        <f>'Parameters | Agora'!$B$4*3.88785344054027E-06</f>
        <v>0.23111733562635689</v>
      </c>
      <c r="X189" s="123">
        <f>'Parameters | Agora'!$B$4*0.000531</f>
        <v>31.565826000000001</v>
      </c>
      <c r="Y189" s="123">
        <f>'Parameters | Agora'!$B$4*0.00148378045438211</f>
        <v>88.204812891198912</v>
      </c>
      <c r="Z189" s="123">
        <f>'Parameters | Agora'!$B$4*0.00138556563777551</f>
        <v>82.366334903202969</v>
      </c>
      <c r="AA189" s="123">
        <f>'Parameters | Agora'!$B$4*0.00159539471979054</f>
        <v>94.839834512668446</v>
      </c>
      <c r="AB189" s="123">
        <f>'Parameters | Agora'!$B$4*0.00000091</f>
        <v>5.4095859999999996E-2</v>
      </c>
      <c r="AC189" s="123">
        <f>'Parameters | Agora'!$B$4*0.0000202741366300976</f>
        <v>1.205216326112782</v>
      </c>
      <c r="AD189" s="123">
        <f>'Parameters | Agora'!$B$4*9.54379665866685E-07</f>
        <v>5.6734053617110952E-2</v>
      </c>
      <c r="AE189" s="123">
        <f>'Parameters | Agora'!$B$4*9.54379665866685E-07</f>
        <v>5.6734053617110952E-2</v>
      </c>
      <c r="AF189" s="123">
        <f>'Parameters | Agora'!$B$4*0.000281365323992451</f>
        <v>16.726043050055242</v>
      </c>
      <c r="AG189" s="123">
        <f>'Parameters | Agora'!$B$4*3.7186125754821E-07</f>
        <v>2.2105664316210891E-2</v>
      </c>
      <c r="AH189" s="123">
        <f>'Parameters | Agora'!$B$4*8.24896307269283E-08</f>
        <v>4.9036785881929794E-3</v>
      </c>
      <c r="AI189" s="123">
        <f>'Parameters | Agora'!$B$4*2.04243142504269E-08</f>
        <v>1.2141437849308777E-3</v>
      </c>
      <c r="AJ189" s="123">
        <f>'Parameters | Agora'!$B$4*1.73158144941564E-09</f>
        <v>1.0293559084196214E-4</v>
      </c>
    </row>
    <row r="190" spans="1:36">
      <c r="A190" s="120" t="s">
        <v>686</v>
      </c>
      <c r="B190" s="120" t="s">
        <v>687</v>
      </c>
      <c r="C190" s="120" t="s">
        <v>116</v>
      </c>
      <c r="D190" s="120" t="s">
        <v>121</v>
      </c>
      <c r="E190" s="120" t="s">
        <v>316</v>
      </c>
      <c r="F190" s="121">
        <v>2023</v>
      </c>
      <c r="G190" s="123">
        <f>'Parameters | Agora'!$B$4*0.0000301022932530247</f>
        <v>1.7894609247193063</v>
      </c>
      <c r="H190" s="123">
        <f>'Parameters | Agora'!$B$4*2.59532051350803E-06</f>
        <v>0.15428142324599836</v>
      </c>
      <c r="I190" s="123">
        <f>'Parameters | Agora'!$B$4*1.07786782161148E-06</f>
        <v>6.4074930523516038E-2</v>
      </c>
      <c r="J190" s="123">
        <f>'Parameters | Agora'!$B$4*8.63343994036925E-08</f>
        <v>5.1322347069519044E-3</v>
      </c>
      <c r="K190" s="123">
        <f>'Parameters | Agora'!$B$4*2.59464580880989E-07</f>
        <v>1.542413147505127E-2</v>
      </c>
      <c r="L190" s="123">
        <f>'Parameters | Agora'!$B$4*7.28231373129231E-06</f>
        <v>0.43290442207040264</v>
      </c>
      <c r="M190" s="123">
        <f>'Parameters | Agora'!$B$4*0.0000600190337539823</f>
        <v>3.5678914805392319</v>
      </c>
      <c r="N190" s="123">
        <f>'Parameters | Agora'!$B$4*0.000679261983649258</f>
        <v>40.379407880013787</v>
      </c>
      <c r="O190" s="123">
        <f>'Parameters | Agora'!$B$4*0.000158887062755249</f>
        <v>9.4452003325485325</v>
      </c>
      <c r="P190" s="123">
        <f>'Parameters | Agora'!$B$4*0.000110409065948861</f>
        <v>6.5633773343959909</v>
      </c>
      <c r="Q190" s="123">
        <f>'Parameters | Agora'!$B$4*0.00000332</f>
        <v>0.19736071999999999</v>
      </c>
      <c r="R190" s="123">
        <f>'Parameters | Agora'!$B$4*0.000000228</f>
        <v>1.3553688E-2</v>
      </c>
      <c r="S190" s="123">
        <f>'Parameters | Agora'!$B$4*0.000000010795</f>
        <v>6.4171957000000001E-4</v>
      </c>
      <c r="T190" s="123">
        <f>-'Parameters | Agora'!$B$4*7.63185456304116E-07</f>
        <v>-4.5368322635454476E-2</v>
      </c>
      <c r="U190" s="123">
        <f>-'Parameters | Agora'!$B$4*1.12296998416009E-07</f>
        <v>-6.6756073678380717E-3</v>
      </c>
      <c r="V190" s="123">
        <f>-'Parameters | Agora'!$B$4*1.12296998416009E-07</f>
        <v>-6.6756073678380717E-3</v>
      </c>
      <c r="W190" s="123">
        <f>'Parameters | Agora'!$B$4*3.88785344054027E-06</f>
        <v>0.23111733562635689</v>
      </c>
      <c r="X190" s="123">
        <f>'Parameters | Agora'!$B$4*0.000531</f>
        <v>31.565826000000001</v>
      </c>
      <c r="Y190" s="123">
        <f>'Parameters | Agora'!$B$4*0.000388442503366956</f>
        <v>23.091353055152066</v>
      </c>
      <c r="Z190" s="123">
        <f>'Parameters | Agora'!$B$4*0.000375583714438594</f>
        <v>22.326949488516657</v>
      </c>
      <c r="AA190" s="123">
        <f>'Parameters | Agora'!$B$4*0.000393849714895063</f>
        <v>23.412790151651915</v>
      </c>
      <c r="AB190" s="123">
        <f>'Parameters | Agora'!$B$4*0.00000091</f>
        <v>5.4095859999999996E-2</v>
      </c>
      <c r="AC190" s="123">
        <f>'Parameters | Agora'!$B$4*0.0000266047666764866</f>
        <v>1.5815469598504224</v>
      </c>
      <c r="AD190" s="123">
        <f>'Parameters | Agora'!$B$4*2.03480819597193E-06</f>
        <v>0.12096120801774735</v>
      </c>
      <c r="AE190" s="123">
        <f>'Parameters | Agora'!$B$4*2.03480819597193E-06</f>
        <v>0.12096120801774735</v>
      </c>
      <c r="AF190" s="123">
        <f>'Parameters | Agora'!$B$4*0.000281365323992451</f>
        <v>16.726043050055242</v>
      </c>
      <c r="AG190" s="123">
        <f>'Parameters | Agora'!$B$4*0</f>
        <v>0</v>
      </c>
      <c r="AH190" s="123">
        <f>'Parameters | Agora'!$B$4*1.47291792086567E-07</f>
        <v>8.7559078723780624E-3</v>
      </c>
      <c r="AI190" s="123">
        <f>-'Parameters | Agora'!$B$4*2.66806913702536E-07</f>
        <v>-1.5860603791960956E-2</v>
      </c>
      <c r="AJ190" s="123">
        <f>'Parameters | Agora'!$B$4*7.21812319995974E-09</f>
        <v>4.2908855174480674E-4</v>
      </c>
    </row>
    <row r="191" spans="1:36">
      <c r="A191" s="120" t="s">
        <v>688</v>
      </c>
      <c r="B191" s="120" t="s">
        <v>689</v>
      </c>
      <c r="C191" s="120" t="s">
        <v>115</v>
      </c>
      <c r="D191" s="120" t="s">
        <v>121</v>
      </c>
      <c r="E191" s="120" t="s">
        <v>316</v>
      </c>
      <c r="F191" s="121">
        <v>2023</v>
      </c>
      <c r="G191" s="123">
        <f>'Parameters | Agora'!$B$4*0.0000155679236625104</f>
        <v>0.92545079004159325</v>
      </c>
      <c r="H191" s="123">
        <f>'Parameters | Agora'!$B$4*2.59532051350803E-06</f>
        <v>0.15428142324599836</v>
      </c>
      <c r="I191" s="123">
        <f>'Parameters | Agora'!$B$4*1.29283204394608E-06</f>
        <v>7.6853693684418661E-2</v>
      </c>
      <c r="J191" s="123">
        <f>'Parameters | Agora'!$B$4*4.88936917779182E-08</f>
        <v>2.9065344014301254E-3</v>
      </c>
      <c r="K191" s="123">
        <f>'Parameters | Agora'!$B$4*3.11210816118875E-07</f>
        <v>1.8500238175002643E-2</v>
      </c>
      <c r="L191" s="123">
        <f>'Parameters | Agora'!$B$4*7.28231373129231E-06</f>
        <v>0.43290442207040264</v>
      </c>
      <c r="M191" s="123">
        <f>'Parameters | Agora'!$B$4*0.0000740931719864284</f>
        <v>4.404542701905223</v>
      </c>
      <c r="N191" s="123">
        <f>'Parameters | Agora'!$B$4*0.0000710085334055878</f>
        <v>4.2211732768285728</v>
      </c>
      <c r="O191" s="123">
        <f>'Parameters | Agora'!$B$4*0.0000201811683245525</f>
        <v>1.199689732221348</v>
      </c>
      <c r="P191" s="123">
        <f>'Parameters | Agora'!$B$4*0.0000229859675050939</f>
        <v>1.366423824307812</v>
      </c>
      <c r="Q191" s="123">
        <f>'Parameters | Agora'!$B$4*0.00000332</f>
        <v>0.19736071999999999</v>
      </c>
      <c r="R191" s="123">
        <f>'Parameters | Agora'!$B$4*0.000000228</f>
        <v>1.3553688E-2</v>
      </c>
      <c r="S191" s="123">
        <f>'Parameters | Agora'!$B$4*0.000000010795</f>
        <v>6.4171957000000001E-4</v>
      </c>
      <c r="T191" s="123">
        <f>'Parameters | Agora'!$B$4*4.29695176939329E-06</f>
        <v>0.25543659488335352</v>
      </c>
      <c r="U191" s="123">
        <f>'Parameters | Agora'!$B$4*6.52701113391211E-06</f>
        <v>0.38800470386653929</v>
      </c>
      <c r="V191" s="123">
        <f>'Parameters | Agora'!$B$4*6.52701113391211E-06</f>
        <v>0.38800470386653929</v>
      </c>
      <c r="W191" s="123">
        <f>'Parameters | Agora'!$B$4*3.88785344054027E-06</f>
        <v>0.23111733562635689</v>
      </c>
      <c r="X191" s="123">
        <f>'Parameters | Agora'!$B$4*0.000531</f>
        <v>31.565826000000001</v>
      </c>
      <c r="Y191" s="123">
        <f>'Parameters | Agora'!$B$4*0.000669148936170213</f>
        <v>39.778227659574483</v>
      </c>
      <c r="Z191" s="123">
        <f>'Parameters | Agora'!$B$4*0.000625167315952452</f>
        <v>37.163696264109461</v>
      </c>
      <c r="AA191" s="123">
        <f>'Parameters | Agora'!$B$4*0.00069742283488163</f>
        <v>41.458997842373378</v>
      </c>
      <c r="AB191" s="123">
        <f>'Parameters | Agora'!$B$4*0.00000091</f>
        <v>5.4095859999999996E-2</v>
      </c>
      <c r="AC191" s="123">
        <f>'Parameters | Agora'!$B$4*0.0000137591170611836</f>
        <v>0.81792447281912029</v>
      </c>
      <c r="AD191" s="123">
        <f>'Parameters | Agora'!$B$4*8.65025962863474E-06</f>
        <v>0.5142233338838208</v>
      </c>
      <c r="AE191" s="123">
        <f>'Parameters | Agora'!$B$4*8.65025962863474E-06</f>
        <v>0.5142233338838208</v>
      </c>
      <c r="AF191" s="123">
        <f>'Parameters | Agora'!$B$4*0.000281365323992451</f>
        <v>16.726043050055242</v>
      </c>
      <c r="AG191" s="123">
        <f>'Parameters | Agora'!$B$4*1.82300582016334E-06</f>
        <v>0.10837040398542991</v>
      </c>
      <c r="AH191" s="123">
        <f>'Parameters | Agora'!$B$4*3.72725500265642E-06</f>
        <v>0.22157040088791355</v>
      </c>
      <c r="AI191" s="123">
        <f>'Parameters | Agora'!$B$4*9.68265148020562E-07</f>
        <v>5.7559489989230328E-2</v>
      </c>
      <c r="AJ191" s="123">
        <f>'Parameters | Agora'!$B$4*8.48516307178507E-09</f>
        <v>5.0440900396533526E-4</v>
      </c>
    </row>
    <row r="192" spans="1:36">
      <c r="A192" s="120" t="s">
        <v>690</v>
      </c>
      <c r="B192" s="120" t="s">
        <v>691</v>
      </c>
      <c r="C192" s="120" t="s">
        <v>117</v>
      </c>
      <c r="D192" s="120" t="s">
        <v>121</v>
      </c>
      <c r="E192" s="120" t="s">
        <v>316</v>
      </c>
      <c r="F192" s="121">
        <v>2023</v>
      </c>
      <c r="G192" s="123">
        <f>'Parameters | Agora'!$B$4*0.0000205663017299334</f>
        <v>1.2225843726376209</v>
      </c>
      <c r="H192" s="123">
        <f>'Parameters | Agora'!$B$4*2.59532051350803E-06</f>
        <v>0.15428142324599836</v>
      </c>
      <c r="I192" s="123">
        <f>'Parameters | Agora'!$B$4*3.45894237059812E-07</f>
        <v>2.0562028816257585E-2</v>
      </c>
      <c r="J192" s="123">
        <f>'Parameters | Agora'!$B$4*1.25062212908419E-07</f>
        <v>7.4344483085538758E-3</v>
      </c>
      <c r="K192" s="123">
        <f>'Parameters | Agora'!$B$4*8.32637373975005E-08</f>
        <v>4.9496961333318152E-3</v>
      </c>
      <c r="L192" s="123">
        <f>'Parameters | Agora'!$B$4*7.28231373129231E-06</f>
        <v>0.43290442207040264</v>
      </c>
      <c r="M192" s="123">
        <f>'Parameters | Agora'!$B$4*0</f>
        <v>0</v>
      </c>
      <c r="N192" s="123">
        <f>'Parameters | Agora'!$B$4*0</f>
        <v>0</v>
      </c>
      <c r="O192" s="123">
        <f>'Parameters | Agora'!$B$4*0.0000210576591947023</f>
        <v>1.251793608488273</v>
      </c>
      <c r="P192" s="123">
        <f>'Parameters | Agora'!$B$4*0.0000090825338639024</f>
        <v>0.53992030807354208</v>
      </c>
      <c r="Q192" s="123">
        <f>'Parameters | Agora'!$B$4*0.00000332</f>
        <v>0.19736071999999999</v>
      </c>
      <c r="R192" s="123">
        <f>'Parameters | Agora'!$B$4*0.000000228</f>
        <v>1.3553688E-2</v>
      </c>
      <c r="S192" s="123">
        <f>'Parameters | Agora'!$B$4*0.000000010795</f>
        <v>6.4171957000000001E-4</v>
      </c>
      <c r="T192" s="123">
        <f>-'Parameters | Agora'!$B$4*2.50579107858199E-10</f>
        <v>-1.4895925645738499E-5</v>
      </c>
      <c r="U192" s="123">
        <f>'Parameters | Agora'!$B$4*1.3406654155665E-09</f>
        <v>7.969719629376616E-5</v>
      </c>
      <c r="V192" s="123">
        <f>'Parameters | Agora'!$B$4*1.3406654155665E-09</f>
        <v>7.969719629376616E-5</v>
      </c>
      <c r="W192" s="123">
        <f>'Parameters | Agora'!$B$4*3.88785344054027E-06</f>
        <v>0.23111733562635689</v>
      </c>
      <c r="X192" s="123">
        <f>'Parameters | Agora'!$B$4*0.000531</f>
        <v>31.565826000000001</v>
      </c>
      <c r="Y192" s="123">
        <f>'Parameters | Agora'!$B$4*0.000548015815258483</f>
        <v>32.57734815385578</v>
      </c>
      <c r="Z192" s="123">
        <f>'Parameters | Agora'!$B$4*0.000543362651253973</f>
        <v>32.300736166443677</v>
      </c>
      <c r="AA192" s="123">
        <f>'Parameters | Agora'!$B$4*0.000548227322713234</f>
        <v>32.58992142601091</v>
      </c>
      <c r="AB192" s="123">
        <f>'Parameters | Agora'!$B$4*0.00000091</f>
        <v>5.4095859999999996E-2</v>
      </c>
      <c r="AC192" s="123">
        <f>'Parameters | Agora'!$B$4*0.00001817674335719</f>
        <v>1.0805346856115166</v>
      </c>
      <c r="AD192" s="123">
        <f>'Parameters | Agora'!$B$4*1.00727910468332E-06</f>
        <v>5.9878713657004638E-2</v>
      </c>
      <c r="AE192" s="123">
        <f>'Parameters | Agora'!$B$4*1.00727910468332E-06</f>
        <v>5.9878713657004638E-2</v>
      </c>
      <c r="AF192" s="123">
        <f>'Parameters | Agora'!$B$4*0.000281365323992451</f>
        <v>16.726043050055242</v>
      </c>
      <c r="AG192" s="123">
        <f>'Parameters | Agora'!$B$4*0</f>
        <v>0</v>
      </c>
      <c r="AH192" s="123">
        <f>-'Parameters | Agora'!$B$4*1.5515968720723E-09</f>
        <v>-9.2236227657209954E-5</v>
      </c>
      <c r="AI192" s="123">
        <f>'Parameters | Agora'!$B$4*2.74939811307472E-09</f>
        <v>1.6344072022983982E-4</v>
      </c>
      <c r="AJ192" s="123">
        <f>'Parameters | Agora'!$B$4*1.42864174564075E-10</f>
        <v>8.4927037211360016E-6</v>
      </c>
    </row>
    <row r="193" spans="1:36">
      <c r="A193" s="120" t="s">
        <v>692</v>
      </c>
      <c r="B193" s="120" t="s">
        <v>693</v>
      </c>
      <c r="C193" s="120" t="s">
        <v>120</v>
      </c>
      <c r="D193" s="120" t="s">
        <v>121</v>
      </c>
      <c r="E193" s="120" t="s">
        <v>316</v>
      </c>
      <c r="F193" s="121">
        <v>2023</v>
      </c>
      <c r="G193" s="123">
        <f>'Parameters | Agora'!$B$4*0.0000141107255213531</f>
        <v>0.83882618934235631</v>
      </c>
      <c r="H193" s="123">
        <f>'Parameters | Agora'!$B$4*2.59532051350803E-06</f>
        <v>0.15428142324599836</v>
      </c>
      <c r="I193" s="123">
        <f>'Parameters | Agora'!$B$4*1.33860180563835E-06</f>
        <v>7.9574522937977343E-2</v>
      </c>
      <c r="J193" s="123">
        <f>'Parameters | Agora'!$B$4*1.396999846752E-08</f>
        <v>8.3046052890019392E-4</v>
      </c>
      <c r="K193" s="123">
        <f>'Parameters | Agora'!$B$4*3.22228523296323E-07</f>
        <v>1.9155196795873217E-2</v>
      </c>
      <c r="L193" s="123">
        <f>'Parameters | Agora'!$B$4*7.28231373129231E-06</f>
        <v>0.43290442207040264</v>
      </c>
      <c r="M193" s="123">
        <f>'Parameters | Agora'!$B$4*0.000128437055339874</f>
        <v>7.63506919173415</v>
      </c>
      <c r="N193" s="123">
        <f>'Parameters | Agora'!$B$4*0.0000736352780688752</f>
        <v>4.3773227400823549</v>
      </c>
      <c r="O193" s="123">
        <f>'Parameters | Agora'!$B$4*0.0000089045531423126</f>
        <v>0.52934006609791484</v>
      </c>
      <c r="P193" s="123">
        <f>'Parameters | Agora'!$B$4*0.0000060816564492419</f>
        <v>0.36153014928163402</v>
      </c>
      <c r="Q193" s="123">
        <f>'Parameters | Agora'!$B$4*0.00000332</f>
        <v>0.19736071999999999</v>
      </c>
      <c r="R193" s="123">
        <f>'Parameters | Agora'!$B$4*0.000000228</f>
        <v>1.3553688E-2</v>
      </c>
      <c r="S193" s="123">
        <f>'Parameters | Agora'!$B$4*0.000000010795</f>
        <v>6.4171957000000001E-4</v>
      </c>
      <c r="T193" s="123">
        <f>'Parameters | Agora'!$B$4*1.35345381544483E-06</f>
        <v>8.0457415512933367E-2</v>
      </c>
      <c r="U193" s="123">
        <f>'Parameters | Agora'!$B$4*1.29791877273384E-06</f>
        <v>7.7156079363935842E-2</v>
      </c>
      <c r="V193" s="123">
        <f>'Parameters | Agora'!$B$4*1.29791877273384E-06</f>
        <v>7.7156079363935842E-2</v>
      </c>
      <c r="W193" s="123">
        <f>'Parameters | Agora'!$B$4*3.88785344054027E-06</f>
        <v>0.23111733562635689</v>
      </c>
      <c r="X193" s="123">
        <f>'Parameters | Agora'!$B$4*0.000531</f>
        <v>31.565826000000001</v>
      </c>
      <c r="Y193" s="123">
        <f>'Parameters | Agora'!$B$4*0.000342884876864644</f>
        <v>20.383134390095627</v>
      </c>
      <c r="Z193" s="123">
        <f>'Parameters | Agora'!$B$4*0.000292810301329747</f>
        <v>17.406401172848142</v>
      </c>
      <c r="AA193" s="123">
        <f>'Parameters | Agora'!$B$4*0.00035669400435813</f>
        <v>21.204031783073397</v>
      </c>
      <c r="AB193" s="123">
        <f>'Parameters | Agora'!$B$4*0.00000091</f>
        <v>5.4095859999999996E-2</v>
      </c>
      <c r="AC193" s="123">
        <f>'Parameters | Agora'!$B$4*0.0000124712279219399</f>
        <v>0.74136461504763929</v>
      </c>
      <c r="AD193" s="123">
        <f>'Parameters | Agora'!$B$4*7.20099004009435E-06</f>
        <v>0.42807005392344871</v>
      </c>
      <c r="AE193" s="123">
        <f>'Parameters | Agora'!$B$4*7.20099004009435E-06</f>
        <v>0.42807005392344871</v>
      </c>
      <c r="AF193" s="123">
        <f>'Parameters | Agora'!$B$4*0.000281365323992451</f>
        <v>16.726043050055242</v>
      </c>
      <c r="AG193" s="123">
        <f>'Parameters | Agora'!$B$4*8.70296207251491E-07</f>
        <v>5.1735628336272134E-2</v>
      </c>
      <c r="AH193" s="123">
        <f>'Parameters | Agora'!$B$4*4.08757962318374E-07</f>
        <v>2.429902582797806E-2</v>
      </c>
      <c r="AI193" s="123">
        <f>'Parameters | Agora'!$B$4*1.4360207524576E-08</f>
        <v>8.5365689650594495E-4</v>
      </c>
      <c r="AJ193" s="123">
        <f>'Parameters | Agora'!$B$4*4.50439563940274E-09</f>
        <v>2.677683031799353E-4</v>
      </c>
    </row>
    <row r="194" spans="1:36">
      <c r="A194" s="120" t="s">
        <v>694</v>
      </c>
      <c r="B194" s="120" t="s">
        <v>695</v>
      </c>
      <c r="C194" s="120" t="s">
        <v>116</v>
      </c>
      <c r="D194" s="120" t="s">
        <v>121</v>
      </c>
      <c r="E194" s="120" t="s">
        <v>316</v>
      </c>
      <c r="F194" s="121">
        <v>2023</v>
      </c>
      <c r="G194" s="123">
        <f>'Parameters | Agora'!$B$4*0.0000180134656021234</f>
        <v>1.0708284761838276</v>
      </c>
      <c r="H194" s="123">
        <f>'Parameters | Agora'!$B$4*2.59532051350803E-06</f>
        <v>0.15428142324599836</v>
      </c>
      <c r="I194" s="123">
        <f>'Parameters | Agora'!$B$4*1.07786782161148E-06</f>
        <v>6.4074930523516038E-2</v>
      </c>
      <c r="J194" s="123">
        <f>'Parameters | Agora'!$B$4*8.63343994036925E-08</f>
        <v>5.1322347069519044E-3</v>
      </c>
      <c r="K194" s="123">
        <f>'Parameters | Agora'!$B$4*2.59464580880989E-07</f>
        <v>1.542413147505127E-2</v>
      </c>
      <c r="L194" s="123">
        <f>'Parameters | Agora'!$B$4*7.28231373129231E-06</f>
        <v>0.43290442207040264</v>
      </c>
      <c r="M194" s="123">
        <f>'Parameters | Agora'!$B$4*0.0000600190337539823</f>
        <v>3.5678914805392319</v>
      </c>
      <c r="N194" s="123">
        <f>'Parameters | Agora'!$B$4*0.000679261983649258</f>
        <v>40.379407880013787</v>
      </c>
      <c r="O194" s="123">
        <f>'Parameters | Agora'!$B$4*0.000158887062755249</f>
        <v>9.4452003325485325</v>
      </c>
      <c r="P194" s="123">
        <f>'Parameters | Agora'!$B$4*0.000110409065948861</f>
        <v>6.5633773343959909</v>
      </c>
      <c r="Q194" s="123">
        <f>'Parameters | Agora'!$B$4*0.00000332</f>
        <v>0.19736071999999999</v>
      </c>
      <c r="R194" s="123">
        <f>'Parameters | Agora'!$B$4*0.000000228</f>
        <v>1.3553688E-2</v>
      </c>
      <c r="S194" s="123">
        <f>'Parameters | Agora'!$B$4*0.000000010795</f>
        <v>6.4171957000000001E-4</v>
      </c>
      <c r="T194" s="123">
        <f>'Parameters | Agora'!$B$4*1.61431472904381E-06</f>
        <v>9.5964553382738321E-2</v>
      </c>
      <c r="U194" s="123">
        <f>'Parameters | Agora'!$B$4*0.0000019670772727503</f>
        <v>0.11693487555591434</v>
      </c>
      <c r="V194" s="123">
        <f>'Parameters | Agora'!$B$4*0.0000019670772727503</f>
        <v>0.11693487555591434</v>
      </c>
      <c r="W194" s="123">
        <f>'Parameters | Agora'!$B$4*3.88785344054027E-06</f>
        <v>0.23111733562635689</v>
      </c>
      <c r="X194" s="123">
        <f>'Parameters | Agora'!$B$4*0.000531</f>
        <v>31.565826000000001</v>
      </c>
      <c r="Y194" s="123">
        <f>'Parameters | Agora'!$B$4*0.000388442503366956</f>
        <v>23.091353055152066</v>
      </c>
      <c r="Z194" s="123">
        <f>'Parameters | Agora'!$B$4*0.000375583714438594</f>
        <v>22.326949488516657</v>
      </c>
      <c r="AA194" s="123">
        <f>'Parameters | Agora'!$B$4*0.000393849714895063</f>
        <v>23.412790151651915</v>
      </c>
      <c r="AB194" s="123">
        <f>'Parameters | Agora'!$B$4*0.00000091</f>
        <v>5.4095859999999996E-2</v>
      </c>
      <c r="AC194" s="123">
        <f>'Parameters | Agora'!$B$4*0.0000159205162660242</f>
        <v>0.94641100995007466</v>
      </c>
      <c r="AD194" s="123">
        <f>'Parameters | Agora'!$B$4*2.03480819597193E-06</f>
        <v>0.12096120801774735</v>
      </c>
      <c r="AE194" s="123">
        <f>'Parameters | Agora'!$B$4*2.03480819597193E-06</f>
        <v>0.12096120801774735</v>
      </c>
      <c r="AF194" s="123">
        <f>'Parameters | Agora'!$B$4*0.000281365323992451</f>
        <v>16.726043050055242</v>
      </c>
      <c r="AG194" s="123">
        <f>'Parameters | Agora'!$B$4*1.51988753787917E-06</f>
        <v>9.0351234576765138E-2</v>
      </c>
      <c r="AH194" s="123">
        <f>'Parameters | Agora'!$B$4*4.89077512031944E-07</f>
        <v>2.9073701780250944E-2</v>
      </c>
      <c r="AI194" s="123">
        <f>-'Parameters | Agora'!$B$4*4.65285271150305E-08</f>
        <v>-2.7659348228801029E-3</v>
      </c>
      <c r="AJ194" s="123">
        <f>'Parameters | Agora'!$B$4*4.64074995421495E-09</f>
        <v>2.7587402177826193E-4</v>
      </c>
    </row>
    <row r="195" spans="1:36">
      <c r="A195" s="120" t="s">
        <v>696</v>
      </c>
      <c r="B195" s="120" t="s">
        <v>697</v>
      </c>
      <c r="C195" s="120" t="s">
        <v>119</v>
      </c>
      <c r="D195" s="120" t="s">
        <v>319</v>
      </c>
      <c r="E195" s="120" t="s">
        <v>316</v>
      </c>
      <c r="F195" s="121">
        <v>2023</v>
      </c>
      <c r="G195" s="123">
        <f>'Parameters | Agora'!$B$4*0.000191740798919177</f>
        <v>11.398223532549396</v>
      </c>
      <c r="H195" s="123">
        <f>'Parameters | Agora'!$B$4*2.59532051350803E-06</f>
        <v>0.15428142324599836</v>
      </c>
      <c r="I195" s="123">
        <f>'Parameters | Agora'!$B$4*1.39272491770268E-06</f>
        <v>8.2791925457753518E-2</v>
      </c>
      <c r="J195" s="123">
        <f>'Parameters | Agora'!$B$4*2.24299408328451E-07</f>
        <v>1.3333702627493097E-2</v>
      </c>
      <c r="K195" s="123">
        <f>'Parameters | Agora'!$B$4*3.35257050826489E-07</f>
        <v>1.9929690643431464E-2</v>
      </c>
      <c r="L195" s="123">
        <f>'Parameters | Agora'!$B$4*7.28231373129231E-06</f>
        <v>0.43290442207040264</v>
      </c>
      <c r="M195" s="123">
        <f>'Parameters | Agora'!$B$4*0.0000236959680878394</f>
        <v>1.408630518949701</v>
      </c>
      <c r="N195" s="123">
        <f>'Parameters | Agora'!$B$4*2.88938860587443E-06</f>
        <v>0.17176259506481137</v>
      </c>
      <c r="O195" s="123">
        <f>'Parameters | Agora'!$B$4*0</f>
        <v>0</v>
      </c>
      <c r="P195" s="123">
        <f>'Parameters | Agora'!$B$4*2.17836901876772E-06</f>
        <v>0.12949532468966587</v>
      </c>
      <c r="Q195" s="123">
        <f>'Parameters | Agora'!$B$4*0.00000332</f>
        <v>0.19736071999999999</v>
      </c>
      <c r="R195" s="123">
        <f>'Parameters | Agora'!$B$4*0.000000228</f>
        <v>1.3553688E-2</v>
      </c>
      <c r="S195" s="123">
        <f>'Parameters | Agora'!$B$4*0.000000010795</f>
        <v>6.4171957000000001E-4</v>
      </c>
      <c r="T195" s="123">
        <f>'Parameters | Agora'!$B$4*4.4100636850201E-08</f>
        <v>2.6216064581970487E-3</v>
      </c>
      <c r="U195" s="123">
        <f>'Parameters | Agora'!$B$4*5.41523682249996E-07</f>
        <v>3.2191416815033264E-2</v>
      </c>
      <c r="V195" s="123">
        <f>'Parameters | Agora'!$B$4*5.41523682249996E-07</f>
        <v>3.2191416815033264E-2</v>
      </c>
      <c r="W195" s="123">
        <f>'Parameters | Agora'!$B$4*3.88785344054027E-06</f>
        <v>0.23111733562635689</v>
      </c>
      <c r="X195" s="123">
        <f>'Parameters | Agora'!$B$4*0.000531</f>
        <v>31.565826000000001</v>
      </c>
      <c r="Y195" s="123">
        <f>'Parameters | Agora'!$B$4*0.0010216007208547</f>
        <v>60.730076451928497</v>
      </c>
      <c r="Z195" s="123">
        <f>'Parameters | Agora'!$B$4*0.00100992014972795</f>
        <v>60.035713220727715</v>
      </c>
      <c r="AA195" s="123">
        <f>'Parameters | Agora'!$B$4*0.00108000357648843</f>
        <v>64.201892607931214</v>
      </c>
      <c r="AB195" s="123">
        <f>'Parameters | Agora'!$B$4*0.00000091</f>
        <v>5.4095859999999996E-2</v>
      </c>
      <c r="AC195" s="123">
        <f>'Parameters | Agora'!$B$4*0.000169462810515118</f>
        <v>10.073886233881705</v>
      </c>
      <c r="AD195" s="123">
        <f>'Parameters | Agora'!$B$4*1.84314684004252E-06</f>
        <v>0.10956770705316765</v>
      </c>
      <c r="AE195" s="123">
        <f>'Parameters | Agora'!$B$4*1.84314684004252E-06</f>
        <v>0.10956770705316765</v>
      </c>
      <c r="AF195" s="123">
        <f>'Parameters | Agora'!$B$4*0.000281365323992451</f>
        <v>16.726043050055242</v>
      </c>
      <c r="AG195" s="123">
        <f>'Parameters | Agora'!$B$4*0</f>
        <v>0</v>
      </c>
      <c r="AH195" s="123">
        <f>'Parameters | Agora'!$B$4*5.26031727761957E-07</f>
        <v>3.1270482088537298E-2</v>
      </c>
      <c r="AI195" s="123">
        <f>'Parameters | Agora'!$B$4*1.15254068362313E-08</f>
        <v>6.8513933478660586E-4</v>
      </c>
      <c r="AJ195" s="123">
        <f>'Parameters | Agora'!$B$4*3.96654765180755E-09</f>
        <v>2.357953917093516E-4</v>
      </c>
    </row>
    <row r="196" spans="1:36">
      <c r="A196" s="120" t="s">
        <v>698</v>
      </c>
      <c r="B196" s="120" t="s">
        <v>699</v>
      </c>
      <c r="C196" s="120" t="s">
        <v>115</v>
      </c>
      <c r="D196" s="120" t="s">
        <v>121</v>
      </c>
      <c r="E196" s="120" t="s">
        <v>316</v>
      </c>
      <c r="F196" s="121">
        <v>2023</v>
      </c>
      <c r="G196" s="123">
        <f>'Parameters | Agora'!$B$4*0.0000155679236625104</f>
        <v>0.92545079004159325</v>
      </c>
      <c r="H196" s="123">
        <f>'Parameters | Agora'!$B$4*2.59532051350803E-06</f>
        <v>0.15428142324599836</v>
      </c>
      <c r="I196" s="123">
        <f>'Parameters | Agora'!$B$4*1.29283204394608E-06</f>
        <v>7.6853693684418661E-2</v>
      </c>
      <c r="J196" s="123">
        <f>'Parameters | Agora'!$B$4*4.88936917779182E-08</f>
        <v>2.9065344014301254E-3</v>
      </c>
      <c r="K196" s="123">
        <f>'Parameters | Agora'!$B$4*3.11210816118875E-07</f>
        <v>1.8500238175002643E-2</v>
      </c>
      <c r="L196" s="123">
        <f>'Parameters | Agora'!$B$4*7.28231373129231E-06</f>
        <v>0.43290442207040264</v>
      </c>
      <c r="M196" s="123">
        <f>'Parameters | Agora'!$B$4*0.0000740931719864284</f>
        <v>4.404542701905223</v>
      </c>
      <c r="N196" s="123">
        <f>'Parameters | Agora'!$B$4*0.0000710085334055878</f>
        <v>4.2211732768285728</v>
      </c>
      <c r="O196" s="123">
        <f>'Parameters | Agora'!$B$4*0.0000201811683245525</f>
        <v>1.199689732221348</v>
      </c>
      <c r="P196" s="123">
        <f>'Parameters | Agora'!$B$4*0.0000229859675050939</f>
        <v>1.366423824307812</v>
      </c>
      <c r="Q196" s="123">
        <f>'Parameters | Agora'!$B$4*0.00000332</f>
        <v>0.19736071999999999</v>
      </c>
      <c r="R196" s="123">
        <f>'Parameters | Agora'!$B$4*0.000000228</f>
        <v>1.3553688E-2</v>
      </c>
      <c r="S196" s="123">
        <f>'Parameters | Agora'!$B$4*0.000000010795</f>
        <v>6.4171957000000001E-4</v>
      </c>
      <c r="T196" s="123">
        <f>-'Parameters | Agora'!$B$4*3.94145093804506E-07</f>
        <v>-2.3430349246302665E-2</v>
      </c>
      <c r="U196" s="123">
        <f>-'Parameters | Agora'!$B$4*7.3682944803321E-07</f>
        <v>-4.3801563367782202E-2</v>
      </c>
      <c r="V196" s="123">
        <f>-'Parameters | Agora'!$B$4*7.3682944803321E-07</f>
        <v>-4.3801563367782202E-2</v>
      </c>
      <c r="W196" s="123">
        <f>'Parameters | Agora'!$B$4*3.88785344054027E-06</f>
        <v>0.23111733562635689</v>
      </c>
      <c r="X196" s="123">
        <f>'Parameters | Agora'!$B$4*0.000531</f>
        <v>31.565826000000001</v>
      </c>
      <c r="Y196" s="123">
        <f>'Parameters | Agora'!$B$4*0.000583766773024505</f>
        <v>34.702599589214721</v>
      </c>
      <c r="Z196" s="123">
        <f>'Parameters | Agora'!$B$4*0.000497225679132692</f>
        <v>29.558077721722011</v>
      </c>
      <c r="AA196" s="123">
        <f>'Parameters | Agora'!$B$4*0.000615768499889642</f>
        <v>36.60497424443966</v>
      </c>
      <c r="AB196" s="123">
        <f>'Parameters | Agora'!$B$4*0.00000091</f>
        <v>5.4095859999999996E-2</v>
      </c>
      <c r="AC196" s="123">
        <f>'Parameters | Agora'!$B$4*0.0000137591170611836</f>
        <v>0.81792447281912029</v>
      </c>
      <c r="AD196" s="123">
        <f>'Parameters | Agora'!$B$4*4.15557395920644E-06</f>
        <v>0.24703224957898606</v>
      </c>
      <c r="AE196" s="123">
        <f>'Parameters | Agora'!$B$4*4.15557395920644E-06</f>
        <v>0.24703224957898606</v>
      </c>
      <c r="AF196" s="123">
        <f>'Parameters | Agora'!$B$4*0.000281365323992451</f>
        <v>16.726043050055242</v>
      </c>
      <c r="AG196" s="123">
        <f>'Parameters | Agora'!$B$4*0</f>
        <v>0</v>
      </c>
      <c r="AH196" s="123">
        <f>-'Parameters | Agora'!$B$4*7.67672238874565E-13</f>
        <v>-4.563504391213739E-8</v>
      </c>
      <c r="AI196" s="123">
        <f>-'Parameters | Agora'!$B$4*7.37660890396419E-07</f>
        <v>-4.3850989290505522E-2</v>
      </c>
      <c r="AJ196" s="123">
        <f>'Parameters | Agora'!$B$4*8.32210035448501E-10</f>
        <v>4.9471557767271586E-5</v>
      </c>
    </row>
    <row r="197" spans="1:36">
      <c r="A197" s="120" t="s">
        <v>700</v>
      </c>
      <c r="B197" s="120" t="s">
        <v>701</v>
      </c>
      <c r="C197" s="120" t="s">
        <v>117</v>
      </c>
      <c r="D197" s="120" t="s">
        <v>121</v>
      </c>
      <c r="E197" s="120" t="s">
        <v>316</v>
      </c>
      <c r="F197" s="121">
        <v>2023</v>
      </c>
      <c r="G197" s="123">
        <f>'Parameters | Agora'!$B$4*0.0000219995097340049</f>
        <v>1.3077828556476554</v>
      </c>
      <c r="H197" s="123">
        <f>'Parameters | Agora'!$B$4*2.59532051350803E-06</f>
        <v>0.15428142324599836</v>
      </c>
      <c r="I197" s="123">
        <f>'Parameters | Agora'!$B$4*1.60465604763612E-07</f>
        <v>9.5390383407776783E-3</v>
      </c>
      <c r="J197" s="123">
        <f>'Parameters | Agora'!$B$4*1.25062212908419E-07</f>
        <v>7.4344483085538758E-3</v>
      </c>
      <c r="K197" s="123">
        <f>'Parameters | Agora'!$B$4*3.86273159389415E-08</f>
        <v>2.2962394233063165E-3</v>
      </c>
      <c r="L197" s="123">
        <f>'Parameters | Agora'!$B$4*7.28231373129231E-06</f>
        <v>0.43290442207040264</v>
      </c>
      <c r="M197" s="123">
        <f>'Parameters | Agora'!$B$4*0</f>
        <v>0</v>
      </c>
      <c r="N197" s="123">
        <f>'Parameters | Agora'!$B$4*0</f>
        <v>0</v>
      </c>
      <c r="O197" s="123">
        <f>'Parameters | Agora'!$B$4*0.0000210576591947023</f>
        <v>1.251793608488273</v>
      </c>
      <c r="P197" s="123">
        <f>'Parameters | Agora'!$B$4*0.0000090825338639024</f>
        <v>0.53992030807354208</v>
      </c>
      <c r="Q197" s="123">
        <f>'Parameters | Agora'!$B$4*0.00000332</f>
        <v>0.19736071999999999</v>
      </c>
      <c r="R197" s="123">
        <f>'Parameters | Agora'!$B$4*0.000000228</f>
        <v>1.3553688E-2</v>
      </c>
      <c r="S197" s="123">
        <f>'Parameters | Agora'!$B$4*0.000000010795</f>
        <v>6.4171957000000001E-4</v>
      </c>
      <c r="T197" s="123">
        <f>-'Parameters | Agora'!$B$4*2.90334868885938E-09</f>
        <v>-1.7259246615793471E-4</v>
      </c>
      <c r="U197" s="123">
        <f>-'Parameters | Agora'!$B$4*2.28003856971602E-09</f>
        <v>-1.3553917281533854E-4</v>
      </c>
      <c r="V197" s="123">
        <f>-'Parameters | Agora'!$B$4*2.28003856971602E-09</f>
        <v>-1.3553917281533854E-4</v>
      </c>
      <c r="W197" s="123">
        <f>'Parameters | Agora'!$B$4*3.88785344054027E-06</f>
        <v>0.23111733562635689</v>
      </c>
      <c r="X197" s="123">
        <f>'Parameters | Agora'!$B$4*0.000531</f>
        <v>31.565826000000001</v>
      </c>
      <c r="Y197" s="123">
        <f>'Parameters | Agora'!$B$4*0.000652202872901204</f>
        <v>38.77085198248497</v>
      </c>
      <c r="Z197" s="123">
        <f>'Parameters | Agora'!$B$4*0.000559074653690124</f>
        <v>33.234751863263106</v>
      </c>
      <c r="AA197" s="123">
        <f>'Parameters | Agora'!$B$4*0.00068416162790916</f>
        <v>40.670672132687926</v>
      </c>
      <c r="AB197" s="123">
        <f>'Parameters | Agora'!$B$4*0.00000091</f>
        <v>5.4095859999999996E-2</v>
      </c>
      <c r="AC197" s="123">
        <f>'Parameters | Agora'!$B$4*0.000019443429726454</f>
        <v>1.1558341235187843</v>
      </c>
      <c r="AD197" s="123">
        <f>'Parameters | Agora'!$B$4*4.02791935722541E-07</f>
        <v>2.3944369410962174E-2</v>
      </c>
      <c r="AE197" s="123">
        <f>'Parameters | Agora'!$B$4*4.02791935722541E-07</f>
        <v>2.3944369410962174E-2</v>
      </c>
      <c r="AF197" s="123">
        <f>'Parameters | Agora'!$B$4*0.000281365323992451</f>
        <v>16.726043050055242</v>
      </c>
      <c r="AG197" s="123">
        <f>'Parameters | Agora'!$B$4*0</f>
        <v>0</v>
      </c>
      <c r="AH197" s="123">
        <f>-'Parameters | Agora'!$B$4*1.29014072438009E-09</f>
        <v>-7.6693705501498834E-5</v>
      </c>
      <c r="AI197" s="123">
        <f>-'Parameters | Agora'!$B$4*1.09069662570931E-09</f>
        <v>-6.4837551611915639E-5</v>
      </c>
      <c r="AJ197" s="123">
        <f>'Parameters | Agora'!$B$4*1.00798780373379E-10</f>
        <v>5.9920842980758876E-6</v>
      </c>
    </row>
    <row r="198" spans="1:36">
      <c r="A198" s="120" t="s">
        <v>702</v>
      </c>
      <c r="B198" s="120" t="s">
        <v>703</v>
      </c>
      <c r="C198" s="120" t="s">
        <v>117</v>
      </c>
      <c r="D198" s="120" t="s">
        <v>322</v>
      </c>
      <c r="E198" s="120" t="s">
        <v>316</v>
      </c>
      <c r="F198" s="121">
        <v>2023</v>
      </c>
      <c r="G198" s="123">
        <f>'Parameters | Agora'!$B$4*0.000105196525076339</f>
        <v>6.2535126296880481</v>
      </c>
      <c r="H198" s="123">
        <f>'Parameters | Agora'!$B$4*2.59532051350803E-06</f>
        <v>0.15428142324599836</v>
      </c>
      <c r="I198" s="123">
        <f>'Parameters | Agora'!$B$4*2.78293246619237E-07</f>
        <v>1.6543420338527161E-2</v>
      </c>
      <c r="J198" s="123">
        <f>'Parameters | Agora'!$B$4*1.25062212908419E-07</f>
        <v>7.4344483085538758E-3</v>
      </c>
      <c r="K198" s="123">
        <f>'Parameters | Agora'!$B$4*6.69908119978163E-08</f>
        <v>3.9823358100221874E-3</v>
      </c>
      <c r="L198" s="123">
        <f>'Parameters | Agora'!$B$4*7.28231373129231E-06</f>
        <v>0.43290442207040264</v>
      </c>
      <c r="M198" s="123">
        <f>'Parameters | Agora'!$B$4*0</f>
        <v>0</v>
      </c>
      <c r="N198" s="123">
        <f>'Parameters | Agora'!$B$4*0</f>
        <v>0</v>
      </c>
      <c r="O198" s="123">
        <f>'Parameters | Agora'!$B$4*1.45529018239418E-08</f>
        <v>8.6511180182604426E-4</v>
      </c>
      <c r="P198" s="123">
        <f>'Parameters | Agora'!$B$4*7.06657483502094E-08</f>
        <v>4.2007960764265479E-3</v>
      </c>
      <c r="Q198" s="123">
        <f>'Parameters | Agora'!$B$4*0.00000332</f>
        <v>0.19736071999999999</v>
      </c>
      <c r="R198" s="123">
        <f>'Parameters | Agora'!$B$4*0.000000228</f>
        <v>1.3553688E-2</v>
      </c>
      <c r="S198" s="123">
        <f>'Parameters | Agora'!$B$4*0.000000010795</f>
        <v>6.4171957000000001E-4</v>
      </c>
      <c r="T198" s="123">
        <f>'Parameters | Agora'!$B$4*6.1011412252443E-08</f>
        <v>3.6268844127587269E-3</v>
      </c>
      <c r="U198" s="123">
        <f>'Parameters | Agora'!$B$4*1.367583759281E-08</f>
        <v>8.129738415421832E-4</v>
      </c>
      <c r="V198" s="123">
        <f>'Parameters | Agora'!$B$4*1.367583759281E-08</f>
        <v>8.129738415421832E-4</v>
      </c>
      <c r="W198" s="123">
        <f>'Parameters | Agora'!$B$4*3.88785344054027E-06</f>
        <v>0.23111733562635689</v>
      </c>
      <c r="X198" s="123">
        <f>'Parameters | Agora'!$B$4*0.000531</f>
        <v>31.565826000000001</v>
      </c>
      <c r="Y198" s="123">
        <f>'Parameters | Agora'!$B$4*0.000736201154393702</f>
        <v>43.764213824088003</v>
      </c>
      <c r="Z198" s="123">
        <f>'Parameters | Agora'!$B$4*0.000745329653962256</f>
        <v>44.30686660944027</v>
      </c>
      <c r="AA198" s="123">
        <f>'Parameters | Agora'!$B$4*0.000697219994073928</f>
        <v>41.446939767718725</v>
      </c>
      <c r="AB198" s="123">
        <f>'Parameters | Agora'!$B$4*0.00000091</f>
        <v>5.4095859999999996E-2</v>
      </c>
      <c r="AC198" s="123">
        <f>'Parameters | Agora'!$B$4*0.0000929739465796997</f>
        <v>5.5269292283768285</v>
      </c>
      <c r="AD198" s="123">
        <f>'Parameters | Agora'!$B$4*3.67158245716633E-07</f>
        <v>2.1826089074870967E-2</v>
      </c>
      <c r="AE198" s="123">
        <f>'Parameters | Agora'!$B$4*3.67158245716633E-07</f>
        <v>2.1826089074870967E-2</v>
      </c>
      <c r="AF198" s="123">
        <f>'Parameters | Agora'!$B$4*0.000281365323992451</f>
        <v>16.726043050055242</v>
      </c>
      <c r="AG198" s="123">
        <f>'Parameters | Agora'!$B$4*1.29537352071211E-08</f>
        <v>7.7004774312252092E-4</v>
      </c>
      <c r="AH198" s="123">
        <f>'Parameters | Agora'!$B$4*3.83282470493321E-10</f>
        <v>2.278460974094596E-5</v>
      </c>
      <c r="AI198" s="123">
        <f>'Parameters | Agora'!$B$4*2.82741204953026E-10</f>
        <v>1.6807833669637582E-5</v>
      </c>
      <c r="AJ198" s="123">
        <f>'Parameters | Agora'!$B$4*5.60787102426253E-11</f>
        <v>3.3336550090831038E-6</v>
      </c>
    </row>
    <row r="199" spans="1:36">
      <c r="A199" s="120" t="s">
        <v>704</v>
      </c>
      <c r="B199" s="120" t="s">
        <v>705</v>
      </c>
      <c r="C199" s="120" t="s">
        <v>115</v>
      </c>
      <c r="D199" s="120" t="s">
        <v>121</v>
      </c>
      <c r="E199" s="120" t="s">
        <v>316</v>
      </c>
      <c r="F199" s="121">
        <v>2023</v>
      </c>
      <c r="G199" s="123">
        <f>'Parameters | Agora'!$B$4*0.0000155679236625104</f>
        <v>0.92545079004159325</v>
      </c>
      <c r="H199" s="123">
        <f>'Parameters | Agora'!$B$4*2.59532051350803E-06</f>
        <v>0.15428142324599836</v>
      </c>
      <c r="I199" s="123">
        <f>'Parameters | Agora'!$B$4*1.29283204394608E-06</f>
        <v>7.6853693684418661E-2</v>
      </c>
      <c r="J199" s="123">
        <f>'Parameters | Agora'!$B$4*4.88936917779182E-08</f>
        <v>2.9065344014301254E-3</v>
      </c>
      <c r="K199" s="123">
        <f>'Parameters | Agora'!$B$4*3.11210816118875E-07</f>
        <v>1.8500238175002643E-2</v>
      </c>
      <c r="L199" s="123">
        <f>'Parameters | Agora'!$B$4*7.28231373129231E-06</f>
        <v>0.43290442207040264</v>
      </c>
      <c r="M199" s="123">
        <f>'Parameters | Agora'!$B$4*0.0000740931719864284</f>
        <v>4.404542701905223</v>
      </c>
      <c r="N199" s="123">
        <f>'Parameters | Agora'!$B$4*0.0000710085334055878</f>
        <v>4.2211732768285728</v>
      </c>
      <c r="O199" s="123">
        <f>'Parameters | Agora'!$B$4*0.0000201811683245525</f>
        <v>1.199689732221348</v>
      </c>
      <c r="P199" s="123">
        <f>'Parameters | Agora'!$B$4*0.0000229859675050939</f>
        <v>1.366423824307812</v>
      </c>
      <c r="Q199" s="123">
        <f>'Parameters | Agora'!$B$4*0.00000332</f>
        <v>0.19736071999999999</v>
      </c>
      <c r="R199" s="123">
        <f>'Parameters | Agora'!$B$4*0.000000228</f>
        <v>1.3553688E-2</v>
      </c>
      <c r="S199" s="123">
        <f>'Parameters | Agora'!$B$4*0.000000010795</f>
        <v>6.4171957000000001E-4</v>
      </c>
      <c r="T199" s="123">
        <f>'Parameters | Agora'!$B$4*2.15778324883284E-06</f>
        <v>0.12827158301011701</v>
      </c>
      <c r="U199" s="123">
        <f>'Parameters | Agora'!$B$4*0.0000155864764974906</f>
        <v>0.92655368186982623</v>
      </c>
      <c r="V199" s="123">
        <f>'Parameters | Agora'!$B$4*0.0000155864764974906</f>
        <v>0.92655368186982623</v>
      </c>
      <c r="W199" s="123">
        <f>'Parameters | Agora'!$B$4*3.88785344054027E-06</f>
        <v>0.23111733562635689</v>
      </c>
      <c r="X199" s="123">
        <f>'Parameters | Agora'!$B$4*0.000531</f>
        <v>31.565826000000001</v>
      </c>
      <c r="Y199" s="123">
        <f>'Parameters | Agora'!$B$4*0.000583766773024505</f>
        <v>34.702599589214721</v>
      </c>
      <c r="Z199" s="123">
        <f>'Parameters | Agora'!$B$4*0.000497225679132692</f>
        <v>29.558077721722011</v>
      </c>
      <c r="AA199" s="123">
        <f>'Parameters | Agora'!$B$4*0.000615768499889642</f>
        <v>36.60497424443966</v>
      </c>
      <c r="AB199" s="123">
        <f>'Parameters | Agora'!$B$4*0.00000091</f>
        <v>5.4095859999999996E-2</v>
      </c>
      <c r="AC199" s="123">
        <f>'Parameters | Agora'!$B$4*0.0000137591170611836</f>
        <v>0.81792447281912029</v>
      </c>
      <c r="AD199" s="123">
        <f>'Parameters | Agora'!$B$4*0</f>
        <v>0</v>
      </c>
      <c r="AE199" s="123">
        <f>'Parameters | Agora'!$B$4*0</f>
        <v>0</v>
      </c>
      <c r="AF199" s="123">
        <f>'Parameters | Agora'!$B$4*0.000281365323992451</f>
        <v>16.726043050055242</v>
      </c>
      <c r="AG199" s="123">
        <f>'Parameters | Agora'!$B$4*1.82353153997189E-06</f>
        <v>0.10840165592516897</v>
      </c>
      <c r="AH199" s="123">
        <f>'Parameters | Agora'!$B$4*0.0000137565744388233</f>
        <v>0.81777332409028991</v>
      </c>
      <c r="AI199" s="123">
        <f>'Parameters | Agora'!$B$4*0</f>
        <v>0</v>
      </c>
      <c r="AJ199" s="123">
        <f>'Parameters | Agora'!$B$4*6.3705186953965E-09</f>
        <v>3.7870185436654036E-4</v>
      </c>
    </row>
    <row r="200" spans="1:36">
      <c r="A200" s="120" t="s">
        <v>706</v>
      </c>
      <c r="B200" s="120" t="s">
        <v>707</v>
      </c>
      <c r="C200" s="120" t="s">
        <v>115</v>
      </c>
      <c r="D200" s="120" t="s">
        <v>121</v>
      </c>
      <c r="E200" s="120" t="s">
        <v>316</v>
      </c>
      <c r="F200" s="121">
        <v>2023</v>
      </c>
      <c r="G200" s="123">
        <f>'Parameters | Agora'!$B$4*0.0000155679236625104</f>
        <v>0.92545079004159325</v>
      </c>
      <c r="H200" s="123">
        <f>'Parameters | Agora'!$B$4*2.59532051350803E-06</f>
        <v>0.15428142324599836</v>
      </c>
      <c r="I200" s="123">
        <f>'Parameters | Agora'!$B$4*1.29283204394608E-06</f>
        <v>7.6853693684418661E-2</v>
      </c>
      <c r="J200" s="123">
        <f>'Parameters | Agora'!$B$4*4.88936917779182E-08</f>
        <v>2.9065344014301254E-3</v>
      </c>
      <c r="K200" s="123">
        <f>'Parameters | Agora'!$B$4*3.11210816118875E-07</f>
        <v>1.8500238175002643E-2</v>
      </c>
      <c r="L200" s="123">
        <f>'Parameters | Agora'!$B$4*7.28231373129231E-06</f>
        <v>0.43290442207040264</v>
      </c>
      <c r="M200" s="123">
        <f>'Parameters | Agora'!$B$4*0.0000740931719864284</f>
        <v>4.404542701905223</v>
      </c>
      <c r="N200" s="123">
        <f>'Parameters | Agora'!$B$4*0.0000710085334055878</f>
        <v>4.2211732768285728</v>
      </c>
      <c r="O200" s="123">
        <f>'Parameters | Agora'!$B$4*0.0000201811683245525</f>
        <v>1.199689732221348</v>
      </c>
      <c r="P200" s="123">
        <f>'Parameters | Agora'!$B$4*0.0000229859675050939</f>
        <v>1.366423824307812</v>
      </c>
      <c r="Q200" s="123">
        <f>'Parameters | Agora'!$B$4*0.00000332</f>
        <v>0.19736071999999999</v>
      </c>
      <c r="R200" s="123">
        <f>'Parameters | Agora'!$B$4*0.000000228</f>
        <v>1.3553688E-2</v>
      </c>
      <c r="S200" s="123">
        <f>'Parameters | Agora'!$B$4*0.000000010795</f>
        <v>6.4171957000000001E-4</v>
      </c>
      <c r="T200" s="123">
        <f>'Parameters | Agora'!$B$4*0.0000021793188342655</f>
        <v>0.12955178742174692</v>
      </c>
      <c r="U200" s="123">
        <f>'Parameters | Agora'!$B$4*2.66232083169403E-06</f>
        <v>0.15826432416088332</v>
      </c>
      <c r="V200" s="123">
        <f>'Parameters | Agora'!$B$4*2.66232083169403E-06</f>
        <v>0.15826432416088332</v>
      </c>
      <c r="W200" s="123">
        <f>'Parameters | Agora'!$B$4*3.88785344054027E-06</f>
        <v>0.23111733562635689</v>
      </c>
      <c r="X200" s="123">
        <f>'Parameters | Agora'!$B$4*0.000531</f>
        <v>31.565826000000001</v>
      </c>
      <c r="Y200" s="123">
        <f>'Parameters | Agora'!$B$4*0.000669148936170213</f>
        <v>39.778227659574483</v>
      </c>
      <c r="Z200" s="123">
        <f>'Parameters | Agora'!$B$4*0</f>
        <v>0</v>
      </c>
      <c r="AA200" s="123">
        <f>'Parameters | Agora'!$B$4*0.000669148936170213</f>
        <v>39.778227659574483</v>
      </c>
      <c r="AB200" s="123">
        <f>'Parameters | Agora'!$B$4*0.00000091</f>
        <v>5.4095859999999996E-2</v>
      </c>
      <c r="AC200" s="123">
        <f>'Parameters | Agora'!$B$4*0.0000137591170611836</f>
        <v>0.81792447281912029</v>
      </c>
      <c r="AD200" s="123">
        <f>'Parameters | Agora'!$B$4*0</f>
        <v>0</v>
      </c>
      <c r="AE200" s="123">
        <f>'Parameters | Agora'!$B$4*0</f>
        <v>0</v>
      </c>
      <c r="AF200" s="123">
        <f>'Parameters | Agora'!$B$4*0.000281365323992451</f>
        <v>16.726043050055242</v>
      </c>
      <c r="AG200" s="123">
        <f>'Parameters | Agora'!$B$4*1.57061530597794E-06</f>
        <v>9.3366797479164626E-2</v>
      </c>
      <c r="AH200" s="123">
        <f>'Parameters | Agora'!$B$4*9.27429461958773E-07</f>
        <v>5.5131971795601226E-2</v>
      </c>
      <c r="AI200" s="123">
        <f>'Parameters | Agora'!$B$4*1.12290490773156E-07</f>
        <v>6.675220514501032E-3</v>
      </c>
      <c r="AJ200" s="123">
        <f>'Parameters | Agora'!$B$4*6.6844301505209E-09</f>
        <v>3.9736263472786544E-4</v>
      </c>
    </row>
    <row r="201" spans="1:36">
      <c r="A201" s="120" t="s">
        <v>708</v>
      </c>
      <c r="B201" s="120" t="s">
        <v>709</v>
      </c>
      <c r="C201" s="120" t="s">
        <v>114</v>
      </c>
      <c r="D201" s="120" t="s">
        <v>121</v>
      </c>
      <c r="E201" s="120" t="s">
        <v>316</v>
      </c>
      <c r="F201" s="121">
        <v>2023</v>
      </c>
      <c r="G201" s="123">
        <f>'Parameters | Agora'!$B$4*0.000016649474017856</f>
        <v>0.98974463246546773</v>
      </c>
      <c r="H201" s="123">
        <f>'Parameters | Agora'!$B$4*2.59532051350803E-06</f>
        <v>0.15428142324599836</v>
      </c>
      <c r="I201" s="123">
        <f>'Parameters | Agora'!$B$4*0.0000014218506795919</f>
        <v>8.4523335499020094E-2</v>
      </c>
      <c r="J201" s="123">
        <f>'Parameters | Agora'!$B$4*8.62473484142803E-08</f>
        <v>5.1270598738353068E-3</v>
      </c>
      <c r="K201" s="123">
        <f>'Parameters | Agora'!$B$4*3.42268210682926E-07</f>
        <v>2.0346476052257218E-2</v>
      </c>
      <c r="L201" s="123">
        <f>'Parameters | Agora'!$B$4*7.28231373129231E-06</f>
        <v>0.43290442207040264</v>
      </c>
      <c r="M201" s="123">
        <f>'Parameters | Agora'!$B$4*0.000127069957930268</f>
        <v>7.5538007191227123</v>
      </c>
      <c r="N201" s="123">
        <f>'Parameters | Agora'!$B$4*0.0000754437708540652</f>
        <v>4.4848304021907603</v>
      </c>
      <c r="O201" s="123">
        <f>'Parameters | Agora'!$B$4*0.0000533974772738579</f>
        <v>3.1742664340217566</v>
      </c>
      <c r="P201" s="123">
        <f>'Parameters | Agora'!$B$4*0.0000555382981150653</f>
        <v>3.3015296697481715</v>
      </c>
      <c r="Q201" s="123">
        <f>'Parameters | Agora'!$B$4*0.00000332</f>
        <v>0.19736071999999999</v>
      </c>
      <c r="R201" s="123">
        <f>'Parameters | Agora'!$B$4*0.000000228</f>
        <v>1.3553688E-2</v>
      </c>
      <c r="S201" s="123">
        <f>'Parameters | Agora'!$B$4*0.000000010795</f>
        <v>6.4171957000000001E-4</v>
      </c>
      <c r="T201" s="123">
        <f>'Parameters | Agora'!$B$4*4.08571581074227E-06</f>
        <v>0.242879462085385</v>
      </c>
      <c r="U201" s="123">
        <f>'Parameters | Agora'!$B$4*0.0000118727590480601</f>
        <v>0.7057880343709807</v>
      </c>
      <c r="V201" s="123">
        <f>'Parameters | Agora'!$B$4*0.0000118727590480601</f>
        <v>0.7057880343709807</v>
      </c>
      <c r="W201" s="123">
        <f>'Parameters | Agora'!$B$4*3.88785344054027E-06</f>
        <v>0.23111733562635689</v>
      </c>
      <c r="X201" s="123">
        <f>'Parameters | Agora'!$B$4*0.000531</f>
        <v>31.565826000000001</v>
      </c>
      <c r="Y201" s="123">
        <f>'Parameters | Agora'!$B$4*0.000362784083649546</f>
        <v>21.56606263663091</v>
      </c>
      <c r="Z201" s="123">
        <f>'Parameters | Agora'!$B$4*0.000322990701520517</f>
        <v>19.200505242588655</v>
      </c>
      <c r="AA201" s="123">
        <f>'Parameters | Agora'!$B$4*0.000365588881026829</f>
        <v>21.732796621520876</v>
      </c>
      <c r="AB201" s="123">
        <f>'Parameters | Agora'!$B$4*0.00000091</f>
        <v>5.4095859999999996E-2</v>
      </c>
      <c r="AC201" s="123">
        <f>'Parameters | Agora'!$B$4*0.0000147150041961264</f>
        <v>0.87474813944292995</v>
      </c>
      <c r="AD201" s="123">
        <f>'Parameters | Agora'!$B$4*3.76072414315637E-06</f>
        <v>0.22356000741407359</v>
      </c>
      <c r="AE201" s="123">
        <f>'Parameters | Agora'!$B$4*3.76072414315637E-06</f>
        <v>0.22356000741407359</v>
      </c>
      <c r="AF201" s="123">
        <f>'Parameters | Agora'!$B$4*0.000281365323992451</f>
        <v>16.726043050055242</v>
      </c>
      <c r="AG201" s="123">
        <f>'Parameters | Agora'!$B$4*2.93927120306978E-06</f>
        <v>0.17472791593768613</v>
      </c>
      <c r="AH201" s="123">
        <f>'Parameters | Agora'!$B$4*8.56141238104656E-06</f>
        <v>0.50894172040369379</v>
      </c>
      <c r="AI201" s="123">
        <f>'Parameters | Agora'!$B$4*3.60324613679427E-07</f>
        <v>2.1419856984787218E-2</v>
      </c>
      <c r="AJ201" s="123">
        <f>'Parameters | Agora'!$B$4*1.17508502643618E-08</f>
        <v>6.9854104481525156E-4</v>
      </c>
    </row>
    <row r="202" spans="1:36">
      <c r="A202" s="120" t="s">
        <v>710</v>
      </c>
      <c r="B202" s="120" t="s">
        <v>711</v>
      </c>
      <c r="C202" s="120" t="s">
        <v>117</v>
      </c>
      <c r="D202" s="120" t="s">
        <v>121</v>
      </c>
      <c r="E202" s="120" t="s">
        <v>316</v>
      </c>
      <c r="F202" s="121">
        <v>2023</v>
      </c>
      <c r="G202" s="123">
        <f>'Parameters | Agora'!$B$4*0.0000250402103152143</f>
        <v>1.4885403423982293</v>
      </c>
      <c r="H202" s="123">
        <f>'Parameters | Agora'!$B$4*2.59532051350803E-06</f>
        <v>0.15428142324599836</v>
      </c>
      <c r="I202" s="123">
        <f>'Parameters | Agora'!$B$4*2.47252077612761E-07</f>
        <v>1.4698147005768191E-2</v>
      </c>
      <c r="J202" s="123">
        <f>'Parameters | Agora'!$B$4*1.25062212908419E-07</f>
        <v>7.4344483085538758E-3</v>
      </c>
      <c r="K202" s="123">
        <f>'Parameters | Agora'!$B$4*5.95185749156479E-08</f>
        <v>3.538141204435605E-3</v>
      </c>
      <c r="L202" s="123">
        <f>'Parameters | Agora'!$B$4*7.28231373129231E-06</f>
        <v>0.43290442207040264</v>
      </c>
      <c r="M202" s="123">
        <f>'Parameters | Agora'!$B$4*0</f>
        <v>0</v>
      </c>
      <c r="N202" s="123">
        <f>'Parameters | Agora'!$B$4*0</f>
        <v>0</v>
      </c>
      <c r="O202" s="123">
        <f>'Parameters | Agora'!$B$4*0.0000540563549008139</f>
        <v>3.2134340734337834</v>
      </c>
      <c r="P202" s="123">
        <f>'Parameters | Agora'!$B$4*0.0000272397985108105</f>
        <v>1.6192970622736411</v>
      </c>
      <c r="Q202" s="123">
        <f>'Parameters | Agora'!$B$4*0.00000332</f>
        <v>0.19736071999999999</v>
      </c>
      <c r="R202" s="123">
        <f>'Parameters | Agora'!$B$4*0.000000228</f>
        <v>1.3553688E-2</v>
      </c>
      <c r="S202" s="123">
        <f>'Parameters | Agora'!$B$4*0.000000010795</f>
        <v>6.4171957000000001E-4</v>
      </c>
      <c r="T202" s="123">
        <f>'Parameters | Agora'!$B$4*3.4904388511077E-08</f>
        <v>2.0749262794294834E-3</v>
      </c>
      <c r="U202" s="123">
        <f>'Parameters | Agora'!$B$4*2.7640445884715E-09</f>
        <v>1.6431139460627679E-4</v>
      </c>
      <c r="V202" s="123">
        <f>'Parameters | Agora'!$B$4*2.7640445884715E-09</f>
        <v>1.6431139460627679E-4</v>
      </c>
      <c r="W202" s="123">
        <f>'Parameters | Agora'!$B$4*3.88785344054027E-06</f>
        <v>0.23111733562635689</v>
      </c>
      <c r="X202" s="123">
        <f>'Parameters | Agora'!$B$4*0.000531</f>
        <v>31.565826000000001</v>
      </c>
      <c r="Y202" s="123">
        <f>'Parameters | Agora'!$B$4*0.000720714984736301</f>
        <v>42.843622982634145</v>
      </c>
      <c r="Z202" s="123">
        <f>'Parameters | Agora'!$B$4*0.0007118300236286</f>
        <v>42.315447584625758</v>
      </c>
      <c r="AA202" s="123">
        <f>'Parameters | Agora'!$B$4*0.000738898160956712</f>
        <v>43.924540076232702</v>
      </c>
      <c r="AB202" s="123">
        <f>'Parameters | Agora'!$B$4*0.00000091</f>
        <v>5.4095859999999996E-2</v>
      </c>
      <c r="AC202" s="123">
        <f>'Parameters | Agora'!$B$4*0.000022130837254384</f>
        <v>1.3155897514241113</v>
      </c>
      <c r="AD202" s="123">
        <f>'Parameters | Agora'!$B$4*3.38351790099817E-07</f>
        <v>2.0113660514273723E-2</v>
      </c>
      <c r="AE202" s="123">
        <f>'Parameters | Agora'!$B$4*3.38351790099817E-07</f>
        <v>2.0113660514273723E-2</v>
      </c>
      <c r="AF202" s="123">
        <f>'Parameters | Agora'!$B$4*0.000281365323992451</f>
        <v>16.726043050055242</v>
      </c>
      <c r="AG202" s="123">
        <f>'Parameters | Agora'!$B$4*0</f>
        <v>0</v>
      </c>
      <c r="AH202" s="123">
        <f>'Parameters | Agora'!$B$4*2.34241409588881E-09</f>
        <v>1.392471483442062E-4</v>
      </c>
      <c r="AI202" s="123">
        <f>'Parameters | Agora'!$B$4*2.66414533351331E-10</f>
        <v>1.5837278349603225E-5</v>
      </c>
      <c r="AJ202" s="123">
        <f>'Parameters | Agora'!$B$4*1.55215959231349E-10</f>
        <v>9.226967912466774E-6</v>
      </c>
    </row>
    <row r="203" spans="1:36">
      <c r="A203" s="120" t="s">
        <v>712</v>
      </c>
      <c r="B203" s="120" t="s">
        <v>713</v>
      </c>
      <c r="C203" s="120" t="s">
        <v>114</v>
      </c>
      <c r="D203" s="120" t="s">
        <v>319</v>
      </c>
      <c r="E203" s="120" t="s">
        <v>316</v>
      </c>
      <c r="F203" s="121">
        <v>2023</v>
      </c>
      <c r="G203" s="123">
        <f>'Parameters | Agora'!$B$4*0.000194297430095371</f>
        <v>11.550205029449424</v>
      </c>
      <c r="H203" s="123">
        <f>'Parameters | Agora'!$B$4*2.59532051350803E-06</f>
        <v>0.15428142324599836</v>
      </c>
      <c r="I203" s="123">
        <f>'Parameters | Agora'!$B$4*1.41129521658811E-06</f>
        <v>8.3895855445296791E-2</v>
      </c>
      <c r="J203" s="123">
        <f>'Parameters | Agora'!$B$4*2.87307050554589E-07</f>
        <v>1.7079254927268098E-2</v>
      </c>
      <c r="K203" s="123">
        <f>'Parameters | Agora'!$B$4*3.39727297289491E-07</f>
        <v>2.0195428914671083E-2</v>
      </c>
      <c r="L203" s="123">
        <f>'Parameters | Agora'!$B$4*7.28231373129231E-06</f>
        <v>0.43290442207040264</v>
      </c>
      <c r="M203" s="123">
        <f>'Parameters | Agora'!$B$4*6.1766188837519E-07</f>
        <v>3.6717528616351545E-2</v>
      </c>
      <c r="N203" s="123">
        <f>'Parameters | Agora'!$B$4*1.68855895853723E-07</f>
        <v>1.0037807584920417E-2</v>
      </c>
      <c r="O203" s="123">
        <f>'Parameters | Agora'!$B$4*0.0000105401627923843</f>
        <v>0.62657051735607705</v>
      </c>
      <c r="P203" s="123">
        <f>'Parameters | Agora'!$B$4*5.60447433443883E-06</f>
        <v>0.33316358128505069</v>
      </c>
      <c r="Q203" s="123">
        <f>'Parameters | Agora'!$B$4*0.00000332</f>
        <v>0.19736071999999999</v>
      </c>
      <c r="R203" s="123">
        <f>'Parameters | Agora'!$B$4*0.000000228</f>
        <v>1.3553688E-2</v>
      </c>
      <c r="S203" s="123">
        <f>'Parameters | Agora'!$B$4*0.000000010795</f>
        <v>6.4171957000000001E-4</v>
      </c>
      <c r="T203" s="123">
        <f>'Parameters | Agora'!$B$4*0.0000026682823948012</f>
        <v>0.15861871524135213</v>
      </c>
      <c r="U203" s="123">
        <f>'Parameters | Agora'!$B$4*2.55985459380424E-06</f>
        <v>0.15217311618328686</v>
      </c>
      <c r="V203" s="123">
        <f>'Parameters | Agora'!$B$4*2.55985459380424E-06</f>
        <v>0.15217311618328686</v>
      </c>
      <c r="W203" s="123">
        <f>'Parameters | Agora'!$B$4*3.88785344054027E-06</f>
        <v>0.23111733562635689</v>
      </c>
      <c r="X203" s="123">
        <f>'Parameters | Agora'!$B$4*0.000531</f>
        <v>31.565826000000001</v>
      </c>
      <c r="Y203" s="123">
        <f>'Parameters | Agora'!$B$4*0.00192158230827431</f>
        <v>114.23038189767463</v>
      </c>
      <c r="Z203" s="123">
        <f>'Parameters | Agora'!$B$4*0.00183398485138481</f>
        <v>109.02306347542141</v>
      </c>
      <c r="AA203" s="123">
        <f>'Parameters | Agora'!$B$4*0.0020360615244209</f>
        <v>121.03571338072481</v>
      </c>
      <c r="AB203" s="123">
        <f>'Parameters | Agora'!$B$4*0.00000091</f>
        <v>5.4095859999999996E-2</v>
      </c>
      <c r="AC203" s="123">
        <f>'Parameters | Agora'!$B$4*0.000171722391715419</f>
        <v>10.208209297914797</v>
      </c>
      <c r="AD203" s="123">
        <f>'Parameters | Agora'!$B$4*2.32119505662829E-06</f>
        <v>0.13798576133632531</v>
      </c>
      <c r="AE203" s="123">
        <f>'Parameters | Agora'!$B$4*2.32119505662829E-06</f>
        <v>0.13798576133632531</v>
      </c>
      <c r="AF203" s="123">
        <f>'Parameters | Agora'!$B$4*0.000281365323992451</f>
        <v>16.726043050055242</v>
      </c>
      <c r="AG203" s="123">
        <f>'Parameters | Agora'!$B$4*2.06733267936053E-06</f>
        <v>0.12289465845726606</v>
      </c>
      <c r="AH203" s="123">
        <f>'Parameters | Agora'!$B$4*3.3350855217894E-07</f>
        <v>1.9825749392829269E-2</v>
      </c>
      <c r="AI203" s="123">
        <f>'Parameters | Agora'!$B$4*1.5142672084423E-07</f>
        <v>9.0017128473060971E-3</v>
      </c>
      <c r="AJ203" s="123">
        <f>'Parameters | Agora'!$B$4*7.58664142053935E-09</f>
        <v>4.5099548588538221E-4</v>
      </c>
    </row>
    <row r="204" spans="1:36">
      <c r="A204" s="120" t="s">
        <v>714</v>
      </c>
      <c r="B204" s="120" t="s">
        <v>715</v>
      </c>
      <c r="C204" s="120" t="s">
        <v>114</v>
      </c>
      <c r="D204" s="120" t="s">
        <v>121</v>
      </c>
      <c r="E204" s="120" t="s">
        <v>316</v>
      </c>
      <c r="F204" s="121">
        <v>2023</v>
      </c>
      <c r="G204" s="123">
        <f>'Parameters | Agora'!$B$4*0.000016649474017856</f>
        <v>0.98974463246546773</v>
      </c>
      <c r="H204" s="123">
        <f>'Parameters | Agora'!$B$4*2.59532051350803E-06</f>
        <v>0.15428142324599836</v>
      </c>
      <c r="I204" s="123">
        <f>'Parameters | Agora'!$B$4*0.0000014218506795919</f>
        <v>8.4523335499020094E-2</v>
      </c>
      <c r="J204" s="123">
        <f>'Parameters | Agora'!$B$4*8.62473484142803E-08</f>
        <v>5.1270598738353068E-3</v>
      </c>
      <c r="K204" s="123">
        <f>'Parameters | Agora'!$B$4*3.42268210682926E-07</f>
        <v>2.0346476052257218E-2</v>
      </c>
      <c r="L204" s="123">
        <f>'Parameters | Agora'!$B$4*7.28231373129231E-06</f>
        <v>0.43290442207040264</v>
      </c>
      <c r="M204" s="123">
        <f>'Parameters | Agora'!$B$4*0.000127069957930268</f>
        <v>7.5538007191227123</v>
      </c>
      <c r="N204" s="123">
        <f>'Parameters | Agora'!$B$4*0.0000754437708540652</f>
        <v>4.4848304021907603</v>
      </c>
      <c r="O204" s="123">
        <f>'Parameters | Agora'!$B$4*0.0000533974772738579</f>
        <v>3.1742664340217566</v>
      </c>
      <c r="P204" s="123">
        <f>'Parameters | Agora'!$B$4*0.0000555382981150653</f>
        <v>3.3015296697481715</v>
      </c>
      <c r="Q204" s="123">
        <f>'Parameters | Agora'!$B$4*0.00000332</f>
        <v>0.19736071999999999</v>
      </c>
      <c r="R204" s="123">
        <f>'Parameters | Agora'!$B$4*0.000000228</f>
        <v>1.3553688E-2</v>
      </c>
      <c r="S204" s="123">
        <f>'Parameters | Agora'!$B$4*0.000000010795</f>
        <v>6.4171957000000001E-4</v>
      </c>
      <c r="T204" s="123">
        <f>'Parameters | Agora'!$B$4*2.90551814470862E-06</f>
        <v>0.17272143163034862</v>
      </c>
      <c r="U204" s="123">
        <f>'Parameters | Agora'!$B$4*7.31491938070788E-06</f>
        <v>0.43484269750556065</v>
      </c>
      <c r="V204" s="123">
        <f>'Parameters | Agora'!$B$4*7.31491938070788E-06</f>
        <v>0.43484269750556065</v>
      </c>
      <c r="W204" s="123">
        <f>'Parameters | Agora'!$B$4*3.88785344054027E-06</f>
        <v>0.23111733562635689</v>
      </c>
      <c r="X204" s="123">
        <f>'Parameters | Agora'!$B$4*0.000531</f>
        <v>31.565826000000001</v>
      </c>
      <c r="Y204" s="123">
        <f>'Parameters | Agora'!$B$4*0.000362784083649546</f>
        <v>21.56606263663091</v>
      </c>
      <c r="Z204" s="123">
        <f>'Parameters | Agora'!$B$4*0.000322990701520517</f>
        <v>19.200505242588655</v>
      </c>
      <c r="AA204" s="123">
        <f>'Parameters | Agora'!$B$4*0.000365588881026829</f>
        <v>21.732796621520876</v>
      </c>
      <c r="AB204" s="123">
        <f>'Parameters | Agora'!$B$4*0.00000091</f>
        <v>5.4095859999999996E-2</v>
      </c>
      <c r="AC204" s="123">
        <f>'Parameters | Agora'!$B$4*0.0000147150041961264</f>
        <v>0.87474813944292995</v>
      </c>
      <c r="AD204" s="123">
        <f>'Parameters | Agora'!$B$4*3.76072414315637E-06</f>
        <v>0.22356000741407359</v>
      </c>
      <c r="AE204" s="123">
        <f>'Parameters | Agora'!$B$4*3.76072414315637E-06</f>
        <v>0.22356000741407359</v>
      </c>
      <c r="AF204" s="123">
        <f>'Parameters | Agora'!$B$4*0.000281365323992451</f>
        <v>16.726043050055242</v>
      </c>
      <c r="AG204" s="123">
        <f>'Parameters | Agora'!$B$4*2.16674709593004E-06</f>
        <v>0.12880444786465714</v>
      </c>
      <c r="AH204" s="123">
        <f>'Parameters | Agora'!$B$4*0.0000049471547328837</f>
        <v>0.29408856025100444</v>
      </c>
      <c r="AI204" s="123">
        <f>'Parameters | Agora'!$B$4*1.85858160633438E-07</f>
        <v>1.1048524217015354E-2</v>
      </c>
      <c r="AJ204" s="123">
        <f>'Parameters | Agora'!$B$4*1.5159391260691E-08</f>
        <v>9.0116517288303709E-4</v>
      </c>
    </row>
    <row r="205" spans="1:36">
      <c r="A205" s="120" t="s">
        <v>716</v>
      </c>
      <c r="B205" s="120" t="s">
        <v>717</v>
      </c>
      <c r="C205" s="120" t="s">
        <v>119</v>
      </c>
      <c r="D205" s="120" t="s">
        <v>319</v>
      </c>
      <c r="E205" s="120" t="s">
        <v>316</v>
      </c>
      <c r="F205" s="121">
        <v>2023</v>
      </c>
      <c r="G205" s="123">
        <f>'Parameters | Agora'!$B$4*0.000191740798919177</f>
        <v>11.398223532549396</v>
      </c>
      <c r="H205" s="123">
        <f>'Parameters | Agora'!$B$4*2.59532051350803E-06</f>
        <v>0.15428142324599836</v>
      </c>
      <c r="I205" s="123">
        <f>'Parameters | Agora'!$B$4*1.39272491770268E-06</f>
        <v>8.2791925457753518E-2</v>
      </c>
      <c r="J205" s="123">
        <f>'Parameters | Agora'!$B$4*2.24299408328451E-07</f>
        <v>1.3333702627493097E-2</v>
      </c>
      <c r="K205" s="123">
        <f>'Parameters | Agora'!$B$4*3.35257050826489E-07</f>
        <v>1.9929690643431464E-2</v>
      </c>
      <c r="L205" s="123">
        <f>'Parameters | Agora'!$B$4*7.28231373129231E-06</f>
        <v>0.43290442207040264</v>
      </c>
      <c r="M205" s="123">
        <f>'Parameters | Agora'!$B$4*0.000416411484836246</f>
        <v>24.753997127575481</v>
      </c>
      <c r="N205" s="123">
        <f>'Parameters | Agora'!$B$4*0.000199946675943613</f>
        <v>11.886030098144019</v>
      </c>
      <c r="O205" s="123">
        <f>'Parameters | Agora'!$B$4*0.000406580769281232</f>
        <v>24.169600410692119</v>
      </c>
      <c r="P205" s="123">
        <f>'Parameters | Agora'!$B$4*0.000315028852674213</f>
        <v>18.727205176071266</v>
      </c>
      <c r="Q205" s="123">
        <f>'Parameters | Agora'!$B$4*0.00000332</f>
        <v>0.19736071999999999</v>
      </c>
      <c r="R205" s="123">
        <f>'Parameters | Agora'!$B$4*0.000000228</f>
        <v>1.3553688E-2</v>
      </c>
      <c r="S205" s="123">
        <f>'Parameters | Agora'!$B$4*0.000000010795</f>
        <v>6.4171957000000001E-4</v>
      </c>
      <c r="T205" s="123">
        <f>'Parameters | Agora'!$B$4*2.05838956277116E-06</f>
        <v>0.12236302594849438</v>
      </c>
      <c r="U205" s="123">
        <f>'Parameters | Agora'!$B$4*2.23136223916543E-06</f>
        <v>0.13264555966942815</v>
      </c>
      <c r="V205" s="123">
        <f>'Parameters | Agora'!$B$4*2.23136223916543E-06</f>
        <v>0.13264555966942815</v>
      </c>
      <c r="W205" s="123">
        <f>'Parameters | Agora'!$B$4*3.88785344054027E-06</f>
        <v>0.23111733562635689</v>
      </c>
      <c r="X205" s="123">
        <f>'Parameters | Agora'!$B$4*0.000531</f>
        <v>31.565826000000001</v>
      </c>
      <c r="Y205" s="123">
        <f>'Parameters | Agora'!$B$4*0.000839982814924972</f>
        <v>49.933618416029887</v>
      </c>
      <c r="Z205" s="123">
        <f>'Parameters | Agora'!$B$4*0.000837069098520376</f>
        <v>49.760409630642272</v>
      </c>
      <c r="AA205" s="123">
        <f>'Parameters | Agora'!$B$4*0.000889099748602448</f>
        <v>52.853423655421125</v>
      </c>
      <c r="AB205" s="123">
        <f>'Parameters | Agora'!$B$4*0.00000091</f>
        <v>5.4095859999999996E-2</v>
      </c>
      <c r="AC205" s="123">
        <f>'Parameters | Agora'!$B$4*0.000169462810515118</f>
        <v>10.073886233881705</v>
      </c>
      <c r="AD205" s="123">
        <f>'Parameters | Agora'!$B$4*1.67182547855904E-06</f>
        <v>9.9383337398420687E-2</v>
      </c>
      <c r="AE205" s="123">
        <f>'Parameters | Agora'!$B$4*1.67182547855904E-06</f>
        <v>9.9383337398420687E-2</v>
      </c>
      <c r="AF205" s="123">
        <f>'Parameters | Agora'!$B$4*0.000281365323992451</f>
        <v>16.726043050055242</v>
      </c>
      <c r="AG205" s="123">
        <f>'Parameters | Agora'!$B$4*1.81938659784166E-06</f>
        <v>0.10815525569529533</v>
      </c>
      <c r="AH205" s="123">
        <f>'Parameters | Agora'!$B$4*4.09394228090518E-07</f>
        <v>2.4336849283068934E-2</v>
      </c>
      <c r="AI205" s="123">
        <f>-'Parameters | Agora'!$B$4*6.30426351804145E-09</f>
        <v>-3.7476324909349205E-4</v>
      </c>
      <c r="AJ205" s="123">
        <f>'Parameters | Agora'!$B$4*8.88567675129655E-09</f>
        <v>5.2821794015757472E-4</v>
      </c>
    </row>
    <row r="206" spans="1:36">
      <c r="A206" s="120" t="s">
        <v>718</v>
      </c>
      <c r="B206" s="120" t="s">
        <v>719</v>
      </c>
      <c r="C206" s="120" t="s">
        <v>115</v>
      </c>
      <c r="D206" s="120" t="s">
        <v>121</v>
      </c>
      <c r="E206" s="120" t="s">
        <v>316</v>
      </c>
      <c r="F206" s="121">
        <v>2023</v>
      </c>
      <c r="G206" s="123">
        <f>'Parameters | Agora'!$B$4*0.0000110089919483328</f>
        <v>0.65444053536059166</v>
      </c>
      <c r="H206" s="123">
        <f>'Parameters | Agora'!$B$4*2.59532051350803E-06</f>
        <v>0.15428142324599836</v>
      </c>
      <c r="I206" s="123">
        <f>'Parameters | Agora'!$B$4*1.29283204394608E-06</f>
        <v>7.6853693684418661E-2</v>
      </c>
      <c r="J206" s="123">
        <f>'Parameters | Agora'!$B$4*4.88936917779182E-08</f>
        <v>2.9065344014301254E-3</v>
      </c>
      <c r="K206" s="123">
        <f>'Parameters | Agora'!$B$4*3.11210816118875E-07</f>
        <v>1.8500238175002643E-2</v>
      </c>
      <c r="L206" s="123">
        <f>'Parameters | Agora'!$B$4*7.28231373129231E-06</f>
        <v>0.43290442207040264</v>
      </c>
      <c r="M206" s="123">
        <f>'Parameters | Agora'!$B$4*0.0000740931719864284</f>
        <v>4.404542701905223</v>
      </c>
      <c r="N206" s="123">
        <f>'Parameters | Agora'!$B$4*0.0000710085334055878</f>
        <v>4.2211732768285728</v>
      </c>
      <c r="O206" s="123">
        <f>'Parameters | Agora'!$B$4*0.0000201811683245525</f>
        <v>1.199689732221348</v>
      </c>
      <c r="P206" s="123">
        <f>'Parameters | Agora'!$B$4*0.0000229859675050939</f>
        <v>1.366423824307812</v>
      </c>
      <c r="Q206" s="123">
        <f>'Parameters | Agora'!$B$4*0.00000332</f>
        <v>0.19736071999999999</v>
      </c>
      <c r="R206" s="123">
        <f>'Parameters | Agora'!$B$4*0.000000228</f>
        <v>1.3553688E-2</v>
      </c>
      <c r="S206" s="123">
        <f>'Parameters | Agora'!$B$4*0.000000010795</f>
        <v>6.4171957000000001E-4</v>
      </c>
      <c r="T206" s="123">
        <f>'Parameters | Agora'!$B$4*2.50314914959948E-06</f>
        <v>0.14880220434709068</v>
      </c>
      <c r="U206" s="123">
        <f>'Parameters | Agora'!$B$4*2.44422604330711E-06</f>
        <v>0.14529946137043445</v>
      </c>
      <c r="V206" s="123">
        <f>'Parameters | Agora'!$B$4*2.44422604330711E-06</f>
        <v>0.14529946137043445</v>
      </c>
      <c r="W206" s="123">
        <f>'Parameters | Agora'!$B$4*3.88785344054027E-06</f>
        <v>0.23111733562635689</v>
      </c>
      <c r="X206" s="123">
        <f>'Parameters | Agora'!$B$4*0.000531</f>
        <v>31.565826000000001</v>
      </c>
      <c r="Y206" s="123">
        <f>'Parameters | Agora'!$B$4*0.000669148936170213</f>
        <v>39.778227659574483</v>
      </c>
      <c r="Z206" s="123">
        <f>'Parameters | Agora'!$B$4*0</f>
        <v>0</v>
      </c>
      <c r="AA206" s="123">
        <f>'Parameters | Agora'!$B$4*0.000669148936170213</f>
        <v>39.778227659574483</v>
      </c>
      <c r="AB206" s="123">
        <f>'Parameters | Agora'!$B$4*0.00000091</f>
        <v>5.4095859999999996E-2</v>
      </c>
      <c r="AC206" s="123">
        <f>'Parameters | Agora'!$B$4*9.72987870614423E-06</f>
        <v>0.57840236956544988</v>
      </c>
      <c r="AD206" s="123">
        <f>'Parameters | Agora'!$B$4*8.00730507177464E-06</f>
        <v>0.47600225729671525</v>
      </c>
      <c r="AE206" s="123">
        <f>'Parameters | Agora'!$B$4*8.00730507177464E-06</f>
        <v>0.47600225729671525</v>
      </c>
      <c r="AF206" s="123">
        <f>'Parameters | Agora'!$B$4*0.000281365323992451</f>
        <v>16.726043050055242</v>
      </c>
      <c r="AG206" s="123">
        <f>'Parameters | Agora'!$B$4*1.82300582016334E-06</f>
        <v>0.10837040398542991</v>
      </c>
      <c r="AH206" s="123">
        <f>'Parameters | Agora'!$B$4*4.17272400547004E-07</f>
        <v>2.4805175122917199E-2</v>
      </c>
      <c r="AI206" s="123">
        <f>'Parameters | Agora'!$B$4*1.93559192924921E-07</f>
        <v>1.1506319782614852E-2</v>
      </c>
      <c r="AJ206" s="123">
        <f>'Parameters | Agora'!$B$4*1.0388629671844E-08</f>
        <v>6.1756247947243842E-4</v>
      </c>
    </row>
    <row r="207" spans="1:36">
      <c r="A207" s="120" t="s">
        <v>720</v>
      </c>
      <c r="B207" s="120" t="s">
        <v>721</v>
      </c>
      <c r="C207" s="120" t="s">
        <v>116</v>
      </c>
      <c r="D207" s="120" t="s">
        <v>121</v>
      </c>
      <c r="E207" s="120" t="s">
        <v>316</v>
      </c>
      <c r="F207" s="121">
        <v>2023</v>
      </c>
      <c r="G207" s="123">
        <f>'Parameters | Agora'!$B$4*0.0000325855288707259</f>
        <v>1.9370793492491718</v>
      </c>
      <c r="H207" s="123">
        <f>'Parameters | Agora'!$B$4*2.59532051350803E-06</f>
        <v>0.15428142324599836</v>
      </c>
      <c r="I207" s="123">
        <f>'Parameters | Agora'!$B$4*1.07786782161148E-06</f>
        <v>6.4074930523516038E-2</v>
      </c>
      <c r="J207" s="123">
        <f>'Parameters | Agora'!$B$4*8.63343994036925E-08</f>
        <v>5.1322347069519044E-3</v>
      </c>
      <c r="K207" s="123">
        <f>'Parameters | Agora'!$B$4*2.59464580880989E-07</f>
        <v>1.542413147505127E-2</v>
      </c>
      <c r="L207" s="123">
        <f>'Parameters | Agora'!$B$4*7.28231373129231E-06</f>
        <v>0.43290442207040264</v>
      </c>
      <c r="M207" s="123">
        <f>'Parameters | Agora'!$B$4*0.0000600190337539823</f>
        <v>3.5678914805392319</v>
      </c>
      <c r="N207" s="123">
        <f>'Parameters | Agora'!$B$4*0.000679261983649258</f>
        <v>40.379407880013787</v>
      </c>
      <c r="O207" s="123">
        <f>'Parameters | Agora'!$B$4*0.000158887062755249</f>
        <v>9.4452003325485325</v>
      </c>
      <c r="P207" s="123">
        <f>'Parameters | Agora'!$B$4*0.000110409065948861</f>
        <v>6.5633773343959909</v>
      </c>
      <c r="Q207" s="123">
        <f>'Parameters | Agora'!$B$4*0.00000332</f>
        <v>0.19736071999999999</v>
      </c>
      <c r="R207" s="123">
        <f>'Parameters | Agora'!$B$4*0.000000228</f>
        <v>1.3553688E-2</v>
      </c>
      <c r="S207" s="123">
        <f>'Parameters | Agora'!$B$4*0.000000010795</f>
        <v>6.4171957000000001E-4</v>
      </c>
      <c r="T207" s="123">
        <f>'Parameters | Agora'!$B$4*1.55990911532132E-06</f>
        <v>9.2730357269391189E-2</v>
      </c>
      <c r="U207" s="123">
        <f>'Parameters | Agora'!$B$4*5.03592128204511E-06</f>
        <v>0.2993653765324536</v>
      </c>
      <c r="V207" s="123">
        <f>'Parameters | Agora'!$B$4*5.03592128204511E-06</f>
        <v>0.2993653765324536</v>
      </c>
      <c r="W207" s="123">
        <f>'Parameters | Agora'!$B$4*3.88785344054027E-06</f>
        <v>0.23111733562635689</v>
      </c>
      <c r="X207" s="123">
        <f>'Parameters | Agora'!$B$4*0.000531</f>
        <v>31.565826000000001</v>
      </c>
      <c r="Y207" s="123">
        <f>'Parameters | Agora'!$B$4*0.000388442503366956</f>
        <v>23.091353055152066</v>
      </c>
      <c r="Z207" s="123">
        <f>'Parameters | Agora'!$B$4*0.000375583714438594</f>
        <v>22.326949488516657</v>
      </c>
      <c r="AA207" s="123">
        <f>'Parameters | Agora'!$B$4*0.000393849714895063</f>
        <v>23.412790151651915</v>
      </c>
      <c r="AB207" s="123">
        <f>'Parameters | Agora'!$B$4*0.00000091</f>
        <v>5.4095859999999996E-2</v>
      </c>
      <c r="AC207" s="123">
        <f>'Parameters | Agora'!$B$4*0.0000287994800046828</f>
        <v>1.7120138883583738</v>
      </c>
      <c r="AD207" s="123">
        <f>'Parameters | Agora'!$B$4*2.03480819597193E-06</f>
        <v>0.12096120801774735</v>
      </c>
      <c r="AE207" s="123">
        <f>'Parameters | Agora'!$B$4*2.03480819597193E-06</f>
        <v>0.12096120801774735</v>
      </c>
      <c r="AF207" s="123">
        <f>'Parameters | Agora'!$B$4*0.000281365323992451</f>
        <v>16.726043050055242</v>
      </c>
      <c r="AG207" s="123">
        <f>'Parameters | Agora'!$B$4*1.66125307457557E-06</f>
        <v>9.875485027121933E-2</v>
      </c>
      <c r="AH207" s="123">
        <f>'Parameters | Agora'!$B$4*3.50753063565361E-06</f>
        <v>0.20850866616706451</v>
      </c>
      <c r="AI207" s="123">
        <f>-'Parameters | Agora'!$B$4*1.41424842419088E-07</f>
        <v>-8.4071411824451041E-3</v>
      </c>
      <c r="AJ207" s="123">
        <f>'Parameters | Agora'!$B$4*8.562414235016E-09</f>
        <v>5.0900127661476118E-4</v>
      </c>
    </row>
    <row r="211" spans="32:36">
      <c r="AF211" s="144"/>
      <c r="AG211" s="144"/>
      <c r="AH211" s="144"/>
      <c r="AI211" s="144"/>
      <c r="AJ211" s="144"/>
    </row>
    <row r="212" spans="32:36">
      <c r="AF212" s="144"/>
      <c r="AG212" s="144"/>
      <c r="AH212" s="144"/>
      <c r="AI212" s="144"/>
      <c r="AJ212" s="144"/>
    </row>
    <row r="213" spans="32:36">
      <c r="AF213" s="144"/>
      <c r="AG213" s="144"/>
      <c r="AH213" s="144"/>
      <c r="AI213" s="144"/>
      <c r="AJ213" s="144"/>
    </row>
    <row r="214" spans="32:36">
      <c r="AF214" s="144"/>
      <c r="AG214" s="144"/>
      <c r="AH214" s="144"/>
      <c r="AI214" s="144"/>
      <c r="AJ214" s="144"/>
    </row>
    <row r="215" spans="32:36">
      <c r="AF215" s="144"/>
      <c r="AG215" s="144"/>
      <c r="AH215" s="144"/>
      <c r="AI215" s="144"/>
      <c r="AJ215" s="144"/>
    </row>
    <row r="216" spans="32:36">
      <c r="AF216" s="144"/>
      <c r="AG216" s="144"/>
      <c r="AH216" s="144"/>
      <c r="AI216" s="144"/>
      <c r="AJ216" s="144"/>
    </row>
    <row r="217" spans="32:36">
      <c r="AF217" s="144"/>
      <c r="AG217" s="144"/>
      <c r="AH217" s="144"/>
      <c r="AI217" s="144"/>
      <c r="AJ217" s="144"/>
    </row>
    <row r="218" spans="32:36">
      <c r="AF218" s="144"/>
      <c r="AG218" s="144"/>
      <c r="AH218" s="144"/>
      <c r="AI218" s="144"/>
      <c r="AJ218" s="144"/>
    </row>
    <row r="219" spans="32:36">
      <c r="AF219" s="144"/>
      <c r="AG219" s="144"/>
      <c r="AH219" s="144"/>
      <c r="AI219" s="144"/>
      <c r="AJ219" s="144"/>
    </row>
    <row r="220" spans="32:36">
      <c r="AF220" s="144"/>
      <c r="AG220" s="144"/>
      <c r="AH220" s="144"/>
      <c r="AI220" s="144"/>
      <c r="AJ220" s="144"/>
    </row>
    <row r="221" spans="32:36">
      <c r="AF221" s="144"/>
      <c r="AG221" s="144"/>
      <c r="AH221" s="144"/>
      <c r="AI221" s="144"/>
      <c r="AJ221" s="144"/>
    </row>
    <row r="222" spans="32:36">
      <c r="AF222" s="144"/>
      <c r="AG222" s="144"/>
      <c r="AH222" s="144"/>
      <c r="AI222" s="144"/>
      <c r="AJ222" s="144"/>
    </row>
    <row r="223" spans="32:36">
      <c r="AF223" s="144"/>
      <c r="AG223" s="144"/>
      <c r="AH223" s="144"/>
      <c r="AI223" s="144"/>
      <c r="AJ223" s="144"/>
    </row>
    <row r="224" spans="32:36">
      <c r="AF224" s="144"/>
      <c r="AG224" s="144"/>
      <c r="AH224" s="144"/>
      <c r="AI224" s="144"/>
      <c r="AJ224" s="144"/>
    </row>
    <row r="225" spans="32:36">
      <c r="AF225" s="144"/>
      <c r="AG225" s="144"/>
      <c r="AH225" s="144"/>
      <c r="AI225" s="144"/>
      <c r="AJ225" s="144"/>
    </row>
    <row r="226" spans="32:36">
      <c r="AF226" s="144"/>
      <c r="AG226" s="144"/>
      <c r="AH226" s="144"/>
      <c r="AI226" s="144"/>
      <c r="AJ226" s="144"/>
    </row>
    <row r="227" spans="32:36">
      <c r="AF227" s="144"/>
      <c r="AG227" s="144"/>
      <c r="AH227" s="144"/>
      <c r="AI227" s="144"/>
      <c r="AJ227" s="144"/>
    </row>
    <row r="228" spans="32:36">
      <c r="AF228" s="144"/>
      <c r="AG228" s="144"/>
      <c r="AH228" s="144"/>
      <c r="AI228" s="144"/>
      <c r="AJ228" s="144"/>
    </row>
    <row r="229" spans="32:36">
      <c r="AF229" s="144"/>
      <c r="AG229" s="144"/>
      <c r="AH229" s="144"/>
      <c r="AI229" s="144"/>
      <c r="AJ229" s="144"/>
    </row>
    <row r="230" spans="32:36">
      <c r="AF230" s="144"/>
      <c r="AG230" s="144"/>
      <c r="AH230" s="144"/>
      <c r="AI230" s="144"/>
      <c r="AJ230" s="144"/>
    </row>
    <row r="231" spans="32:36">
      <c r="AF231" s="144"/>
      <c r="AG231" s="144"/>
      <c r="AH231" s="144"/>
      <c r="AI231" s="144"/>
      <c r="AJ231" s="144"/>
    </row>
    <row r="232" spans="32:36">
      <c r="AF232" s="144"/>
      <c r="AG232" s="144"/>
      <c r="AH232" s="144"/>
      <c r="AI232" s="144"/>
      <c r="AJ232" s="144"/>
    </row>
    <row r="233" spans="32:36">
      <c r="AF233" s="144"/>
      <c r="AG233" s="144"/>
      <c r="AH233" s="144"/>
      <c r="AI233" s="144"/>
      <c r="AJ233" s="144"/>
    </row>
    <row r="234" spans="32:36">
      <c r="AF234" s="144"/>
      <c r="AG234" s="144"/>
      <c r="AH234" s="144"/>
      <c r="AI234" s="144"/>
      <c r="AJ234" s="144"/>
    </row>
    <row r="235" spans="32:36">
      <c r="AF235" s="144"/>
      <c r="AG235" s="144"/>
      <c r="AH235" s="144"/>
      <c r="AI235" s="144"/>
      <c r="AJ235" s="144"/>
    </row>
    <row r="236" spans="32:36">
      <c r="AF236" s="144"/>
      <c r="AG236" s="144"/>
      <c r="AH236" s="144"/>
      <c r="AI236" s="144"/>
      <c r="AJ236" s="144"/>
    </row>
    <row r="237" spans="32:36">
      <c r="AF237" s="144"/>
      <c r="AG237" s="144"/>
      <c r="AH237" s="144"/>
      <c r="AI237" s="144"/>
      <c r="AJ237" s="144"/>
    </row>
    <row r="238" spans="32:36">
      <c r="AF238" s="144"/>
      <c r="AG238" s="144"/>
      <c r="AH238" s="144"/>
      <c r="AI238" s="144"/>
      <c r="AJ238" s="144"/>
    </row>
    <row r="239" spans="32:36">
      <c r="AF239" s="144"/>
      <c r="AG239" s="144"/>
      <c r="AH239" s="144"/>
      <c r="AI239" s="144"/>
      <c r="AJ239" s="144"/>
    </row>
    <row r="240" spans="32:36">
      <c r="AF240" s="144"/>
      <c r="AG240" s="144"/>
      <c r="AH240" s="144"/>
      <c r="AI240" s="144"/>
      <c r="AJ240" s="144"/>
    </row>
    <row r="241" spans="32:36">
      <c r="AF241" s="144"/>
      <c r="AG241" s="144"/>
      <c r="AH241" s="144"/>
      <c r="AI241" s="144"/>
      <c r="AJ241" s="144"/>
    </row>
    <row r="242" spans="32:36">
      <c r="AF242" s="144"/>
      <c r="AG242" s="144"/>
      <c r="AH242" s="144"/>
      <c r="AI242" s="144"/>
      <c r="AJ242" s="144"/>
    </row>
    <row r="243" spans="32:36">
      <c r="AF243" s="144"/>
      <c r="AG243" s="144"/>
      <c r="AH243" s="144"/>
      <c r="AI243" s="144"/>
      <c r="AJ243" s="144"/>
    </row>
    <row r="244" spans="32:36">
      <c r="AF244" s="144"/>
      <c r="AG244" s="144"/>
      <c r="AH244" s="144"/>
      <c r="AI244" s="144"/>
      <c r="AJ244" s="144"/>
    </row>
    <row r="245" spans="32:36">
      <c r="AF245" s="144"/>
      <c r="AG245" s="144"/>
      <c r="AH245" s="144"/>
      <c r="AI245" s="144"/>
      <c r="AJ245" s="144"/>
    </row>
    <row r="246" spans="32:36">
      <c r="AF246" s="144"/>
      <c r="AG246" s="144"/>
      <c r="AH246" s="144"/>
      <c r="AI246" s="144"/>
      <c r="AJ246" s="144"/>
    </row>
    <row r="247" spans="32:36">
      <c r="AF247" s="144"/>
      <c r="AG247" s="144"/>
      <c r="AH247" s="144"/>
      <c r="AI247" s="144"/>
      <c r="AJ247" s="144"/>
    </row>
    <row r="248" spans="32:36">
      <c r="AF248" s="144"/>
      <c r="AG248" s="144"/>
      <c r="AH248" s="144"/>
      <c r="AI248" s="144"/>
      <c r="AJ248" s="144"/>
    </row>
    <row r="249" spans="32:36">
      <c r="AF249" s="144"/>
      <c r="AG249" s="144"/>
      <c r="AH249" s="144"/>
      <c r="AI249" s="144"/>
      <c r="AJ249" s="144"/>
    </row>
    <row r="250" spans="32:36">
      <c r="AF250" s="144"/>
      <c r="AG250" s="144"/>
      <c r="AH250" s="144"/>
      <c r="AI250" s="144"/>
      <c r="AJ250" s="144"/>
    </row>
    <row r="251" spans="32:36">
      <c r="AF251" s="144"/>
      <c r="AG251" s="144"/>
      <c r="AH251" s="144"/>
      <c r="AI251" s="144"/>
      <c r="AJ251" s="144"/>
    </row>
    <row r="252" spans="32:36">
      <c r="AF252" s="144"/>
      <c r="AG252" s="144"/>
      <c r="AH252" s="144"/>
      <c r="AI252" s="144"/>
      <c r="AJ252" s="144"/>
    </row>
    <row r="253" spans="32:36">
      <c r="AF253" s="144"/>
      <c r="AG253" s="144"/>
      <c r="AH253" s="144"/>
      <c r="AI253" s="144"/>
      <c r="AJ253" s="144"/>
    </row>
    <row r="254" spans="32:36">
      <c r="AF254" s="144"/>
      <c r="AG254" s="144"/>
      <c r="AH254" s="144"/>
      <c r="AI254" s="144"/>
      <c r="AJ254" s="144"/>
    </row>
    <row r="255" spans="32:36">
      <c r="AF255" s="144"/>
      <c r="AG255" s="144"/>
      <c r="AH255" s="144"/>
      <c r="AI255" s="144"/>
      <c r="AJ255" s="144"/>
    </row>
    <row r="256" spans="32:36">
      <c r="AF256" s="144"/>
      <c r="AG256" s="144"/>
      <c r="AH256" s="144"/>
      <c r="AI256" s="144"/>
      <c r="AJ256" s="144"/>
    </row>
    <row r="257" spans="32:36">
      <c r="AF257" s="144"/>
      <c r="AG257" s="144"/>
      <c r="AH257" s="144"/>
      <c r="AI257" s="144"/>
      <c r="AJ257" s="144"/>
    </row>
    <row r="258" spans="32:36">
      <c r="AF258" s="144"/>
      <c r="AG258" s="144"/>
      <c r="AH258" s="144"/>
      <c r="AI258" s="144"/>
      <c r="AJ258" s="144"/>
    </row>
    <row r="259" spans="32:36">
      <c r="AF259" s="144"/>
      <c r="AG259" s="144"/>
      <c r="AH259" s="144"/>
      <c r="AI259" s="144"/>
      <c r="AJ259" s="144"/>
    </row>
    <row r="260" spans="32:36">
      <c r="AF260" s="144"/>
      <c r="AG260" s="144"/>
      <c r="AH260" s="144"/>
      <c r="AI260" s="144"/>
      <c r="AJ260" s="144"/>
    </row>
    <row r="261" spans="32:36">
      <c r="AF261" s="144"/>
      <c r="AG261" s="144"/>
      <c r="AH261" s="144"/>
      <c r="AI261" s="144"/>
      <c r="AJ261" s="144"/>
    </row>
    <row r="262" spans="32:36">
      <c r="AF262" s="144"/>
      <c r="AG262" s="144"/>
      <c r="AH262" s="144"/>
      <c r="AI262" s="144"/>
      <c r="AJ262" s="144"/>
    </row>
    <row r="263" spans="32:36">
      <c r="AF263" s="144"/>
      <c r="AG263" s="144"/>
      <c r="AH263" s="144"/>
      <c r="AI263" s="144"/>
      <c r="AJ263" s="144"/>
    </row>
    <row r="264" spans="32:36">
      <c r="AF264" s="144"/>
      <c r="AG264" s="144"/>
      <c r="AH264" s="144"/>
      <c r="AI264" s="144"/>
      <c r="AJ264" s="144"/>
    </row>
    <row r="265" spans="32:36">
      <c r="AF265" s="144"/>
      <c r="AG265" s="144"/>
      <c r="AH265" s="144"/>
      <c r="AI265" s="144"/>
      <c r="AJ265" s="144"/>
    </row>
    <row r="266" spans="32:36">
      <c r="AF266" s="144"/>
      <c r="AG266" s="144"/>
      <c r="AH266" s="144"/>
      <c r="AI266" s="144"/>
      <c r="AJ266" s="144"/>
    </row>
    <row r="267" spans="32:36">
      <c r="AF267" s="144"/>
      <c r="AG267" s="144"/>
      <c r="AH267" s="144"/>
      <c r="AI267" s="144"/>
      <c r="AJ267" s="144"/>
    </row>
    <row r="268" spans="32:36">
      <c r="AF268" s="144"/>
      <c r="AG268" s="144"/>
      <c r="AH268" s="144"/>
      <c r="AI268" s="144"/>
      <c r="AJ268" s="144"/>
    </row>
    <row r="269" spans="32:36">
      <c r="AF269" s="144"/>
      <c r="AG269" s="144"/>
      <c r="AH269" s="144"/>
      <c r="AI269" s="144"/>
      <c r="AJ269" s="144"/>
    </row>
    <row r="270" spans="32:36">
      <c r="AF270" s="144"/>
      <c r="AG270" s="144"/>
      <c r="AH270" s="144"/>
      <c r="AI270" s="144"/>
      <c r="AJ270" s="144"/>
    </row>
    <row r="271" spans="32:36">
      <c r="AF271" s="144"/>
      <c r="AG271" s="144"/>
      <c r="AH271" s="144"/>
      <c r="AI271" s="144"/>
      <c r="AJ271" s="144"/>
    </row>
    <row r="272" spans="32:36">
      <c r="AF272" s="144"/>
      <c r="AG272" s="144"/>
      <c r="AH272" s="144"/>
      <c r="AI272" s="144"/>
      <c r="AJ272" s="144"/>
    </row>
    <row r="273" spans="32:36">
      <c r="AF273" s="144"/>
      <c r="AG273" s="144"/>
      <c r="AH273" s="144"/>
      <c r="AI273" s="144"/>
      <c r="AJ273" s="144"/>
    </row>
    <row r="274" spans="32:36">
      <c r="AF274" s="144"/>
      <c r="AG274" s="144"/>
      <c r="AH274" s="144"/>
      <c r="AI274" s="144"/>
      <c r="AJ274" s="144"/>
    </row>
    <row r="275" spans="32:36">
      <c r="AF275" s="144"/>
      <c r="AG275" s="144"/>
      <c r="AH275" s="144"/>
      <c r="AI275" s="144"/>
      <c r="AJ275" s="144"/>
    </row>
    <row r="276" spans="32:36">
      <c r="AF276" s="144"/>
      <c r="AG276" s="144"/>
      <c r="AH276" s="144"/>
      <c r="AI276" s="144"/>
      <c r="AJ276" s="144"/>
    </row>
    <row r="277" spans="32:36">
      <c r="AF277" s="144"/>
      <c r="AG277" s="144"/>
      <c r="AH277" s="144"/>
      <c r="AI277" s="144"/>
      <c r="AJ277" s="144"/>
    </row>
    <row r="278" spans="32:36">
      <c r="AF278" s="144"/>
      <c r="AG278" s="144"/>
      <c r="AH278" s="144"/>
      <c r="AI278" s="144"/>
      <c r="AJ278" s="144"/>
    </row>
    <row r="279" spans="32:36">
      <c r="AF279" s="144"/>
      <c r="AG279" s="144"/>
      <c r="AH279" s="144"/>
      <c r="AI279" s="144"/>
      <c r="AJ279" s="144"/>
    </row>
    <row r="280" spans="32:36">
      <c r="AF280" s="144"/>
      <c r="AG280" s="144"/>
      <c r="AH280" s="144"/>
      <c r="AI280" s="144"/>
      <c r="AJ280" s="144"/>
    </row>
    <row r="281" spans="32:36">
      <c r="AF281" s="144"/>
      <c r="AG281" s="144"/>
      <c r="AH281" s="144"/>
      <c r="AI281" s="144"/>
      <c r="AJ281" s="144"/>
    </row>
    <row r="282" spans="32:36">
      <c r="AF282" s="144"/>
      <c r="AG282" s="144"/>
      <c r="AH282" s="144"/>
      <c r="AI282" s="144"/>
      <c r="AJ282" s="144"/>
    </row>
    <row r="283" spans="32:36">
      <c r="AF283" s="144"/>
      <c r="AG283" s="144"/>
      <c r="AH283" s="144"/>
      <c r="AI283" s="144"/>
      <c r="AJ283" s="144"/>
    </row>
    <row r="284" spans="32:36">
      <c r="AF284" s="144"/>
      <c r="AG284" s="144"/>
      <c r="AH284" s="144"/>
      <c r="AI284" s="144"/>
      <c r="AJ284" s="144"/>
    </row>
    <row r="285" spans="32:36">
      <c r="AF285" s="144"/>
      <c r="AG285" s="144"/>
      <c r="AH285" s="144"/>
      <c r="AI285" s="144"/>
      <c r="AJ285" s="144"/>
    </row>
    <row r="286" spans="32:36">
      <c r="AF286" s="144"/>
      <c r="AG286" s="144"/>
      <c r="AH286" s="144"/>
      <c r="AI286" s="144"/>
      <c r="AJ286" s="144"/>
    </row>
    <row r="287" spans="32:36">
      <c r="AF287" s="144"/>
      <c r="AG287" s="144"/>
      <c r="AH287" s="144"/>
      <c r="AI287" s="144"/>
      <c r="AJ287" s="144"/>
    </row>
    <row r="288" spans="32:36">
      <c r="AF288" s="144"/>
      <c r="AG288" s="144"/>
      <c r="AH288" s="144"/>
      <c r="AI288" s="144"/>
      <c r="AJ288" s="144"/>
    </row>
    <row r="289" spans="32:36">
      <c r="AF289" s="144"/>
      <c r="AG289" s="144"/>
      <c r="AH289" s="144"/>
      <c r="AI289" s="144"/>
      <c r="AJ289" s="144"/>
    </row>
    <row r="290" spans="32:36">
      <c r="AF290" s="144"/>
      <c r="AG290" s="144"/>
      <c r="AH290" s="144"/>
      <c r="AI290" s="144"/>
      <c r="AJ290" s="144"/>
    </row>
    <row r="291" spans="32:36">
      <c r="AF291" s="144"/>
      <c r="AG291" s="144"/>
      <c r="AH291" s="144"/>
      <c r="AI291" s="144"/>
      <c r="AJ291" s="144"/>
    </row>
    <row r="292" spans="32:36">
      <c r="AF292" s="144"/>
      <c r="AG292" s="144"/>
      <c r="AH292" s="144"/>
      <c r="AI292" s="144"/>
      <c r="AJ292" s="144"/>
    </row>
    <row r="293" spans="32:36">
      <c r="AF293" s="144"/>
      <c r="AG293" s="144"/>
      <c r="AH293" s="144"/>
      <c r="AI293" s="144"/>
      <c r="AJ293" s="144"/>
    </row>
    <row r="294" spans="32:36">
      <c r="AF294" s="144"/>
      <c r="AG294" s="144"/>
      <c r="AH294" s="144"/>
      <c r="AI294" s="144"/>
      <c r="AJ294" s="144"/>
    </row>
    <row r="295" spans="32:36">
      <c r="AF295" s="144"/>
      <c r="AG295" s="144"/>
      <c r="AH295" s="144"/>
      <c r="AI295" s="144"/>
      <c r="AJ295" s="144"/>
    </row>
    <row r="296" spans="32:36">
      <c r="AF296" s="144"/>
      <c r="AG296" s="144"/>
      <c r="AH296" s="144"/>
      <c r="AI296" s="144"/>
      <c r="AJ296" s="144"/>
    </row>
    <row r="297" spans="32:36">
      <c r="AF297" s="144"/>
      <c r="AG297" s="144"/>
      <c r="AH297" s="144"/>
      <c r="AI297" s="144"/>
      <c r="AJ297" s="144"/>
    </row>
    <row r="298" spans="32:36">
      <c r="AF298" s="144"/>
      <c r="AG298" s="144"/>
      <c r="AH298" s="144"/>
      <c r="AI298" s="144"/>
      <c r="AJ298" s="144"/>
    </row>
    <row r="299" spans="32:36">
      <c r="AF299" s="144"/>
      <c r="AG299" s="144"/>
      <c r="AH299" s="144"/>
      <c r="AI299" s="144"/>
      <c r="AJ299" s="144"/>
    </row>
    <row r="300" spans="32:36">
      <c r="AF300" s="144"/>
      <c r="AG300" s="144"/>
      <c r="AH300" s="144"/>
      <c r="AI300" s="144"/>
      <c r="AJ300" s="144"/>
    </row>
    <row r="301" spans="32:36">
      <c r="AF301" s="144"/>
      <c r="AG301" s="144"/>
      <c r="AH301" s="144"/>
      <c r="AI301" s="144"/>
      <c r="AJ301" s="144"/>
    </row>
    <row r="302" spans="32:36">
      <c r="AF302" s="144"/>
      <c r="AG302" s="144"/>
      <c r="AH302" s="144"/>
      <c r="AI302" s="144"/>
      <c r="AJ302" s="144"/>
    </row>
    <row r="303" spans="32:36">
      <c r="AF303" s="144"/>
      <c r="AG303" s="144"/>
      <c r="AH303" s="144"/>
      <c r="AI303" s="144"/>
      <c r="AJ303" s="144"/>
    </row>
    <row r="304" spans="32:36">
      <c r="AF304" s="144"/>
      <c r="AG304" s="144"/>
      <c r="AH304" s="144"/>
      <c r="AI304" s="144"/>
      <c r="AJ304" s="144"/>
    </row>
    <row r="305" spans="32:36">
      <c r="AF305" s="144"/>
      <c r="AG305" s="144"/>
      <c r="AH305" s="144"/>
      <c r="AI305" s="144"/>
      <c r="AJ305" s="144"/>
    </row>
    <row r="306" spans="32:36">
      <c r="AF306" s="144"/>
      <c r="AG306" s="144"/>
      <c r="AH306" s="144"/>
      <c r="AI306" s="144"/>
      <c r="AJ306" s="144"/>
    </row>
    <row r="307" spans="32:36">
      <c r="AF307" s="144"/>
      <c r="AG307" s="144"/>
      <c r="AH307" s="144"/>
      <c r="AI307" s="144"/>
      <c r="AJ307" s="144"/>
    </row>
    <row r="308" spans="32:36">
      <c r="AF308" s="144"/>
      <c r="AG308" s="144"/>
      <c r="AH308" s="144"/>
      <c r="AI308" s="144"/>
      <c r="AJ308" s="144"/>
    </row>
    <row r="309" spans="32:36">
      <c r="AF309" s="144"/>
      <c r="AG309" s="144"/>
      <c r="AH309" s="144"/>
      <c r="AI309" s="144"/>
      <c r="AJ309" s="144"/>
    </row>
    <row r="310" spans="32:36">
      <c r="AF310" s="144"/>
      <c r="AG310" s="144"/>
      <c r="AH310" s="144"/>
      <c r="AI310" s="144"/>
      <c r="AJ310" s="144"/>
    </row>
    <row r="311" spans="32:36">
      <c r="AF311" s="144"/>
      <c r="AG311" s="144"/>
      <c r="AH311" s="144"/>
      <c r="AI311" s="144"/>
      <c r="AJ311" s="144"/>
    </row>
    <row r="312" spans="32:36">
      <c r="AF312" s="144"/>
      <c r="AG312" s="144"/>
      <c r="AH312" s="144"/>
      <c r="AI312" s="144"/>
      <c r="AJ312" s="144"/>
    </row>
    <row r="313" spans="32:36">
      <c r="AF313" s="144"/>
      <c r="AG313" s="144"/>
      <c r="AH313" s="144"/>
      <c r="AI313" s="144"/>
      <c r="AJ313" s="144"/>
    </row>
    <row r="314" spans="32:36">
      <c r="AF314" s="144"/>
      <c r="AG314" s="144"/>
      <c r="AH314" s="144"/>
      <c r="AI314" s="144"/>
      <c r="AJ314" s="144"/>
    </row>
    <row r="315" spans="32:36">
      <c r="AF315" s="144"/>
      <c r="AG315" s="144"/>
      <c r="AH315" s="144"/>
      <c r="AI315" s="144"/>
      <c r="AJ315" s="144"/>
    </row>
    <row r="316" spans="32:36">
      <c r="AF316" s="144"/>
      <c r="AG316" s="144"/>
      <c r="AH316" s="144"/>
      <c r="AI316" s="144"/>
      <c r="AJ316" s="144"/>
    </row>
    <row r="317" spans="32:36">
      <c r="AF317" s="144"/>
      <c r="AG317" s="144"/>
      <c r="AH317" s="144"/>
      <c r="AI317" s="144"/>
      <c r="AJ317" s="144"/>
    </row>
    <row r="318" spans="32:36">
      <c r="AF318" s="144"/>
      <c r="AG318" s="144"/>
      <c r="AH318" s="144"/>
      <c r="AI318" s="144"/>
      <c r="AJ318" s="144"/>
    </row>
    <row r="319" spans="32:36">
      <c r="AF319" s="144"/>
      <c r="AG319" s="144"/>
      <c r="AH319" s="144"/>
      <c r="AI319" s="144"/>
      <c r="AJ319" s="144"/>
    </row>
    <row r="320" spans="32:36">
      <c r="AF320" s="144"/>
      <c r="AG320" s="144"/>
      <c r="AH320" s="144"/>
      <c r="AI320" s="144"/>
      <c r="AJ320" s="144"/>
    </row>
    <row r="321" spans="32:36">
      <c r="AF321" s="144"/>
      <c r="AG321" s="144"/>
      <c r="AH321" s="144"/>
      <c r="AI321" s="144"/>
      <c r="AJ321" s="144"/>
    </row>
    <row r="322" spans="32:36">
      <c r="AF322" s="144"/>
      <c r="AG322" s="144"/>
      <c r="AH322" s="144"/>
      <c r="AI322" s="144"/>
      <c r="AJ322" s="144"/>
    </row>
    <row r="323" spans="32:36">
      <c r="AF323" s="144"/>
      <c r="AG323" s="144"/>
      <c r="AH323" s="144"/>
      <c r="AI323" s="144"/>
      <c r="AJ323" s="144"/>
    </row>
    <row r="324" spans="32:36">
      <c r="AF324" s="144"/>
      <c r="AG324" s="144"/>
      <c r="AH324" s="144"/>
      <c r="AI324" s="144"/>
      <c r="AJ324" s="144"/>
    </row>
    <row r="325" spans="32:36">
      <c r="AF325" s="144"/>
      <c r="AG325" s="144"/>
      <c r="AH325" s="144"/>
      <c r="AI325" s="144"/>
      <c r="AJ325" s="144"/>
    </row>
    <row r="326" spans="32:36">
      <c r="AF326" s="144"/>
      <c r="AG326" s="144"/>
      <c r="AH326" s="144"/>
      <c r="AI326" s="144"/>
      <c r="AJ326" s="144"/>
    </row>
    <row r="327" spans="32:36">
      <c r="AF327" s="144"/>
      <c r="AG327" s="144"/>
      <c r="AH327" s="144"/>
      <c r="AI327" s="144"/>
      <c r="AJ327" s="144"/>
    </row>
    <row r="328" spans="32:36">
      <c r="AF328" s="144"/>
      <c r="AG328" s="144"/>
      <c r="AH328" s="144"/>
      <c r="AI328" s="144"/>
      <c r="AJ328" s="144"/>
    </row>
    <row r="329" spans="32:36">
      <c r="AF329" s="144"/>
      <c r="AG329" s="144"/>
      <c r="AH329" s="144"/>
      <c r="AI329" s="144"/>
      <c r="AJ329" s="144"/>
    </row>
    <row r="330" spans="32:36">
      <c r="AF330" s="144"/>
      <c r="AG330" s="144"/>
      <c r="AH330" s="144"/>
      <c r="AI330" s="144"/>
      <c r="AJ330" s="144"/>
    </row>
    <row r="331" spans="32:36">
      <c r="AF331" s="144"/>
      <c r="AG331" s="144"/>
      <c r="AH331" s="144"/>
      <c r="AI331" s="144"/>
      <c r="AJ331" s="144"/>
    </row>
    <row r="332" spans="32:36">
      <c r="AF332" s="144"/>
      <c r="AG332" s="144"/>
      <c r="AH332" s="144"/>
      <c r="AI332" s="144"/>
      <c r="AJ332" s="144"/>
    </row>
    <row r="333" spans="32:36">
      <c r="AF333" s="144"/>
      <c r="AG333" s="144"/>
      <c r="AH333" s="144"/>
      <c r="AI333" s="144"/>
      <c r="AJ333" s="144"/>
    </row>
    <row r="334" spans="32:36">
      <c r="AF334" s="144"/>
      <c r="AG334" s="144"/>
      <c r="AH334" s="144"/>
      <c r="AI334" s="144"/>
      <c r="AJ334" s="144"/>
    </row>
    <row r="335" spans="32:36">
      <c r="AF335" s="144"/>
      <c r="AG335" s="144"/>
      <c r="AH335" s="144"/>
      <c r="AI335" s="144"/>
      <c r="AJ335" s="144"/>
    </row>
    <row r="336" spans="32:36">
      <c r="AF336" s="144"/>
      <c r="AG336" s="144"/>
      <c r="AH336" s="144"/>
      <c r="AI336" s="144"/>
      <c r="AJ336" s="144"/>
    </row>
    <row r="337" spans="32:36">
      <c r="AF337" s="144"/>
      <c r="AG337" s="144"/>
      <c r="AH337" s="144"/>
      <c r="AI337" s="144"/>
      <c r="AJ337" s="144"/>
    </row>
    <row r="338" spans="32:36">
      <c r="AF338" s="144"/>
      <c r="AG338" s="144"/>
      <c r="AH338" s="144"/>
      <c r="AI338" s="144"/>
      <c r="AJ338" s="144"/>
    </row>
    <row r="339" spans="32:36">
      <c r="AF339" s="144"/>
      <c r="AG339" s="144"/>
      <c r="AH339" s="144"/>
      <c r="AI339" s="144"/>
      <c r="AJ339" s="144"/>
    </row>
    <row r="340" spans="32:36">
      <c r="AF340" s="144"/>
      <c r="AG340" s="144"/>
      <c r="AH340" s="144"/>
      <c r="AI340" s="144"/>
      <c r="AJ340" s="144"/>
    </row>
    <row r="341" spans="32:36">
      <c r="AF341" s="144"/>
      <c r="AG341" s="144"/>
      <c r="AH341" s="144"/>
      <c r="AI341" s="144"/>
      <c r="AJ341" s="144"/>
    </row>
    <row r="342" spans="32:36">
      <c r="AF342" s="144"/>
      <c r="AG342" s="144"/>
      <c r="AH342" s="144"/>
      <c r="AI342" s="144"/>
      <c r="AJ342" s="144"/>
    </row>
    <row r="343" spans="32:36">
      <c r="AF343" s="144"/>
      <c r="AG343" s="144"/>
      <c r="AH343" s="144"/>
      <c r="AI343" s="144"/>
      <c r="AJ343" s="144"/>
    </row>
    <row r="344" spans="32:36">
      <c r="AF344" s="144"/>
      <c r="AG344" s="144"/>
      <c r="AH344" s="144"/>
      <c r="AI344" s="144"/>
      <c r="AJ344" s="144"/>
    </row>
    <row r="345" spans="32:36">
      <c r="AF345" s="144"/>
      <c r="AG345" s="144"/>
      <c r="AH345" s="144"/>
      <c r="AI345" s="144"/>
      <c r="AJ345" s="144"/>
    </row>
    <row r="346" spans="32:36">
      <c r="AF346" s="144"/>
      <c r="AG346" s="144"/>
      <c r="AH346" s="144"/>
      <c r="AI346" s="144"/>
      <c r="AJ346" s="144"/>
    </row>
    <row r="347" spans="32:36">
      <c r="AF347" s="144"/>
      <c r="AG347" s="144"/>
      <c r="AH347" s="144"/>
      <c r="AI347" s="144"/>
      <c r="AJ347" s="144"/>
    </row>
    <row r="348" spans="32:36">
      <c r="AF348" s="144"/>
      <c r="AG348" s="144"/>
      <c r="AH348" s="144"/>
      <c r="AI348" s="144"/>
      <c r="AJ348" s="144"/>
    </row>
    <row r="349" spans="32:36">
      <c r="AF349" s="144"/>
      <c r="AG349" s="144"/>
      <c r="AH349" s="144"/>
      <c r="AI349" s="144"/>
      <c r="AJ349" s="144"/>
    </row>
    <row r="350" spans="32:36">
      <c r="AF350" s="144"/>
      <c r="AG350" s="144"/>
      <c r="AH350" s="144"/>
      <c r="AI350" s="144"/>
      <c r="AJ350" s="144"/>
    </row>
    <row r="351" spans="32:36">
      <c r="AF351" s="144"/>
      <c r="AG351" s="144"/>
      <c r="AH351" s="144"/>
      <c r="AI351" s="144"/>
      <c r="AJ351" s="144"/>
    </row>
    <row r="352" spans="32:36">
      <c r="AF352" s="144"/>
      <c r="AG352" s="144"/>
      <c r="AH352" s="144"/>
      <c r="AI352" s="144"/>
      <c r="AJ352" s="144"/>
    </row>
    <row r="353" spans="32:36">
      <c r="AF353" s="144"/>
      <c r="AG353" s="144"/>
      <c r="AH353" s="144"/>
      <c r="AI353" s="144"/>
      <c r="AJ353" s="144"/>
    </row>
    <row r="354" spans="32:36">
      <c r="AF354" s="144"/>
      <c r="AG354" s="144"/>
      <c r="AH354" s="144"/>
      <c r="AI354" s="144"/>
      <c r="AJ354" s="144"/>
    </row>
    <row r="355" spans="32:36">
      <c r="AF355" s="144"/>
      <c r="AG355" s="144"/>
      <c r="AH355" s="144"/>
      <c r="AI355" s="144"/>
      <c r="AJ355" s="144"/>
    </row>
    <row r="356" spans="32:36">
      <c r="AF356" s="144"/>
      <c r="AG356" s="144"/>
      <c r="AH356" s="144"/>
      <c r="AI356" s="144"/>
      <c r="AJ356" s="144"/>
    </row>
    <row r="357" spans="32:36">
      <c r="AF357" s="144"/>
      <c r="AG357" s="144"/>
      <c r="AH357" s="144"/>
      <c r="AI357" s="144"/>
      <c r="AJ357" s="144"/>
    </row>
    <row r="358" spans="32:36">
      <c r="AF358" s="144"/>
      <c r="AG358" s="144"/>
      <c r="AH358" s="144"/>
      <c r="AI358" s="144"/>
      <c r="AJ358" s="144"/>
    </row>
    <row r="359" spans="32:36">
      <c r="AF359" s="144"/>
      <c r="AG359" s="144"/>
      <c r="AH359" s="144"/>
      <c r="AI359" s="144"/>
      <c r="AJ359" s="144"/>
    </row>
    <row r="360" spans="32:36">
      <c r="AF360" s="144"/>
      <c r="AG360" s="144"/>
      <c r="AH360" s="144"/>
      <c r="AI360" s="144"/>
      <c r="AJ360" s="144"/>
    </row>
    <row r="361" spans="32:36">
      <c r="AF361" s="144"/>
      <c r="AG361" s="144"/>
      <c r="AH361" s="144"/>
      <c r="AI361" s="144"/>
      <c r="AJ361" s="144"/>
    </row>
    <row r="362" spans="32:36">
      <c r="AF362" s="144"/>
      <c r="AG362" s="144"/>
      <c r="AH362" s="144"/>
      <c r="AI362" s="144"/>
      <c r="AJ362" s="144"/>
    </row>
    <row r="363" spans="32:36">
      <c r="AF363" s="144"/>
      <c r="AG363" s="144"/>
      <c r="AH363" s="144"/>
      <c r="AI363" s="144"/>
      <c r="AJ363" s="144"/>
    </row>
    <row r="364" spans="32:36">
      <c r="AF364" s="144"/>
      <c r="AG364" s="144"/>
      <c r="AH364" s="144"/>
      <c r="AI364" s="144"/>
      <c r="AJ364" s="144"/>
    </row>
    <row r="365" spans="32:36">
      <c r="AF365" s="144"/>
      <c r="AG365" s="144"/>
      <c r="AH365" s="144"/>
      <c r="AI365" s="144"/>
      <c r="AJ365" s="144"/>
    </row>
    <row r="366" spans="32:36">
      <c r="AF366" s="144"/>
      <c r="AG366" s="144"/>
      <c r="AH366" s="144"/>
      <c r="AI366" s="144"/>
      <c r="AJ366" s="144"/>
    </row>
    <row r="367" spans="32:36">
      <c r="AF367" s="144"/>
      <c r="AG367" s="144"/>
      <c r="AH367" s="144"/>
      <c r="AI367" s="144"/>
      <c r="AJ367" s="144"/>
    </row>
    <row r="368" spans="32:36">
      <c r="AF368" s="144"/>
      <c r="AG368" s="144"/>
      <c r="AH368" s="144"/>
      <c r="AI368" s="144"/>
      <c r="AJ368" s="144"/>
    </row>
    <row r="369" spans="32:36">
      <c r="AF369" s="144"/>
      <c r="AG369" s="144"/>
      <c r="AH369" s="144"/>
      <c r="AI369" s="144"/>
      <c r="AJ369" s="144"/>
    </row>
    <row r="370" spans="32:36">
      <c r="AF370" s="144"/>
      <c r="AG370" s="144"/>
      <c r="AH370" s="144"/>
      <c r="AI370" s="144"/>
      <c r="AJ370" s="144"/>
    </row>
    <row r="371" spans="32:36">
      <c r="AF371" s="144"/>
      <c r="AG371" s="144"/>
      <c r="AH371" s="144"/>
      <c r="AI371" s="144"/>
      <c r="AJ371" s="144"/>
    </row>
    <row r="372" spans="32:36">
      <c r="AF372" s="144"/>
      <c r="AG372" s="144"/>
      <c r="AH372" s="144"/>
      <c r="AI372" s="144"/>
      <c r="AJ372" s="144"/>
    </row>
    <row r="373" spans="32:36">
      <c r="AF373" s="144"/>
      <c r="AG373" s="144"/>
      <c r="AH373" s="144"/>
      <c r="AI373" s="144"/>
      <c r="AJ373" s="144"/>
    </row>
    <row r="374" spans="32:36">
      <c r="AF374" s="144"/>
      <c r="AG374" s="144"/>
      <c r="AH374" s="144"/>
      <c r="AI374" s="144"/>
      <c r="AJ374" s="144"/>
    </row>
    <row r="375" spans="32:36">
      <c r="AF375" s="144"/>
      <c r="AG375" s="144"/>
      <c r="AH375" s="144"/>
      <c r="AI375" s="144"/>
      <c r="AJ375" s="144"/>
    </row>
    <row r="376" spans="32:36">
      <c r="AF376" s="144"/>
      <c r="AG376" s="144"/>
      <c r="AH376" s="144"/>
      <c r="AI376" s="144"/>
      <c r="AJ376" s="144"/>
    </row>
    <row r="377" spans="32:36">
      <c r="AF377" s="144"/>
      <c r="AG377" s="144"/>
      <c r="AH377" s="144"/>
      <c r="AI377" s="144"/>
      <c r="AJ377" s="144"/>
    </row>
    <row r="378" spans="32:36">
      <c r="AF378" s="144"/>
      <c r="AG378" s="144"/>
      <c r="AH378" s="144"/>
      <c r="AI378" s="144"/>
      <c r="AJ378" s="144"/>
    </row>
    <row r="379" spans="32:36">
      <c r="AF379" s="144"/>
      <c r="AG379" s="144"/>
      <c r="AH379" s="144"/>
      <c r="AI379" s="144"/>
      <c r="AJ379" s="144"/>
    </row>
    <row r="380" spans="32:36">
      <c r="AF380" s="144"/>
      <c r="AG380" s="144"/>
      <c r="AH380" s="144"/>
      <c r="AI380" s="144"/>
      <c r="AJ380" s="144"/>
    </row>
    <row r="381" spans="32:36">
      <c r="AF381" s="144"/>
      <c r="AG381" s="144"/>
      <c r="AH381" s="144"/>
      <c r="AI381" s="144"/>
      <c r="AJ381" s="144"/>
    </row>
    <row r="382" spans="32:36">
      <c r="AF382" s="144"/>
      <c r="AG382" s="144"/>
      <c r="AH382" s="144"/>
      <c r="AI382" s="144"/>
      <c r="AJ382" s="144"/>
    </row>
    <row r="383" spans="32:36">
      <c r="AF383" s="144"/>
      <c r="AG383" s="144"/>
      <c r="AH383" s="144"/>
      <c r="AI383" s="144"/>
      <c r="AJ383" s="144"/>
    </row>
    <row r="384" spans="32:36">
      <c r="AF384" s="144"/>
      <c r="AG384" s="144"/>
      <c r="AH384" s="144"/>
      <c r="AI384" s="144"/>
      <c r="AJ384" s="144"/>
    </row>
    <row r="385" spans="32:36">
      <c r="AF385" s="144"/>
      <c r="AG385" s="144"/>
      <c r="AH385" s="144"/>
      <c r="AI385" s="144"/>
      <c r="AJ385" s="144"/>
    </row>
    <row r="386" spans="32:36">
      <c r="AF386" s="144"/>
      <c r="AG386" s="144"/>
      <c r="AH386" s="144"/>
      <c r="AI386" s="144"/>
      <c r="AJ386" s="144"/>
    </row>
    <row r="387" spans="32:36">
      <c r="AF387" s="144"/>
      <c r="AG387" s="144"/>
      <c r="AH387" s="144"/>
      <c r="AI387" s="144"/>
      <c r="AJ387" s="144"/>
    </row>
    <row r="388" spans="32:36">
      <c r="AF388" s="144"/>
      <c r="AG388" s="144"/>
      <c r="AH388" s="144"/>
      <c r="AI388" s="144"/>
      <c r="AJ388" s="144"/>
    </row>
    <row r="389" spans="32:36">
      <c r="AF389" s="144"/>
      <c r="AG389" s="144"/>
      <c r="AH389" s="144"/>
      <c r="AI389" s="144"/>
      <c r="AJ389" s="144"/>
    </row>
    <row r="390" spans="32:36">
      <c r="AF390" s="144"/>
      <c r="AG390" s="144"/>
      <c r="AH390" s="144"/>
      <c r="AI390" s="144"/>
      <c r="AJ390" s="144"/>
    </row>
    <row r="391" spans="32:36">
      <c r="AF391" s="144"/>
      <c r="AG391" s="144"/>
      <c r="AH391" s="144"/>
      <c r="AI391" s="144"/>
      <c r="AJ391" s="144"/>
    </row>
    <row r="392" spans="32:36">
      <c r="AF392" s="144"/>
      <c r="AG392" s="144"/>
      <c r="AH392" s="144"/>
      <c r="AI392" s="144"/>
      <c r="AJ392" s="144"/>
    </row>
    <row r="393" spans="32:36">
      <c r="AF393" s="144"/>
      <c r="AG393" s="144"/>
      <c r="AH393" s="144"/>
      <c r="AI393" s="144"/>
      <c r="AJ393" s="144"/>
    </row>
    <row r="394" spans="32:36">
      <c r="AF394" s="144"/>
      <c r="AG394" s="144"/>
      <c r="AH394" s="144"/>
      <c r="AI394" s="144"/>
      <c r="AJ394" s="144"/>
    </row>
    <row r="395" spans="32:36">
      <c r="AF395" s="144"/>
      <c r="AG395" s="144"/>
      <c r="AH395" s="144"/>
      <c r="AI395" s="144"/>
      <c r="AJ395" s="144"/>
    </row>
    <row r="396" spans="32:36">
      <c r="AF396" s="144"/>
      <c r="AG396" s="144"/>
      <c r="AH396" s="144"/>
      <c r="AI396" s="144"/>
      <c r="AJ396" s="144"/>
    </row>
    <row r="397" spans="32:36">
      <c r="AF397" s="144"/>
      <c r="AG397" s="144"/>
      <c r="AH397" s="144"/>
      <c r="AI397" s="144"/>
      <c r="AJ397" s="144"/>
    </row>
    <row r="398" spans="32:36">
      <c r="AF398" s="144"/>
      <c r="AG398" s="144"/>
      <c r="AH398" s="144"/>
      <c r="AI398" s="144"/>
      <c r="AJ398" s="144"/>
    </row>
    <row r="399" spans="32:36">
      <c r="AF399" s="144"/>
      <c r="AG399" s="144"/>
      <c r="AH399" s="144"/>
      <c r="AI399" s="144"/>
      <c r="AJ399" s="144"/>
    </row>
    <row r="400" spans="32:36">
      <c r="AF400" s="144"/>
      <c r="AG400" s="144"/>
      <c r="AH400" s="144"/>
      <c r="AI400" s="144"/>
      <c r="AJ400" s="144"/>
    </row>
    <row r="401" spans="32:36">
      <c r="AF401" s="144"/>
      <c r="AG401" s="144"/>
      <c r="AH401" s="144"/>
      <c r="AI401" s="144"/>
      <c r="AJ401" s="144"/>
    </row>
    <row r="402" spans="32:36">
      <c r="AF402" s="144"/>
      <c r="AG402" s="144"/>
      <c r="AH402" s="144"/>
      <c r="AI402" s="144"/>
      <c r="AJ402" s="144"/>
    </row>
    <row r="403" spans="32:36">
      <c r="AF403" s="144"/>
      <c r="AG403" s="144"/>
      <c r="AH403" s="144"/>
      <c r="AI403" s="144"/>
      <c r="AJ403" s="144"/>
    </row>
    <row r="404" spans="32:36">
      <c r="AF404" s="144"/>
      <c r="AG404" s="144"/>
      <c r="AH404" s="144"/>
      <c r="AI404" s="144"/>
      <c r="AJ404" s="144"/>
    </row>
    <row r="405" spans="32:36">
      <c r="AF405" s="144"/>
      <c r="AG405" s="144"/>
      <c r="AH405" s="144"/>
      <c r="AI405" s="144"/>
      <c r="AJ405" s="144"/>
    </row>
    <row r="406" spans="32:36">
      <c r="AF406" s="144"/>
      <c r="AG406" s="144"/>
      <c r="AH406" s="144"/>
      <c r="AI406" s="144"/>
      <c r="AJ406" s="144"/>
    </row>
    <row r="407" spans="32:36">
      <c r="AF407" s="144"/>
      <c r="AG407" s="144"/>
      <c r="AH407" s="144"/>
      <c r="AI407" s="144"/>
      <c r="AJ407" s="144"/>
    </row>
    <row r="408" spans="32:36">
      <c r="AF408" s="144"/>
      <c r="AG408" s="144"/>
      <c r="AH408" s="144"/>
      <c r="AI408" s="144"/>
      <c r="AJ408" s="144"/>
    </row>
    <row r="409" spans="32:36">
      <c r="AF409" s="144"/>
      <c r="AG409" s="144"/>
      <c r="AH409" s="144"/>
      <c r="AI409" s="144"/>
      <c r="AJ409" s="144"/>
    </row>
    <row r="410" spans="32:36">
      <c r="AF410" s="144"/>
      <c r="AG410" s="144"/>
      <c r="AH410" s="144"/>
      <c r="AI410" s="144"/>
      <c r="AJ410" s="144"/>
    </row>
    <row r="411" spans="32:36">
      <c r="AF411" s="144"/>
      <c r="AG411" s="144"/>
      <c r="AH411" s="144"/>
      <c r="AI411" s="144"/>
      <c r="AJ411" s="144"/>
    </row>
    <row r="412" spans="32:36">
      <c r="AF412" s="144"/>
      <c r="AG412" s="144"/>
      <c r="AH412" s="144"/>
      <c r="AI412" s="144"/>
      <c r="AJ412" s="144"/>
    </row>
    <row r="413" spans="32:36">
      <c r="AF413" s="144"/>
      <c r="AG413" s="144"/>
      <c r="AH413" s="144"/>
      <c r="AI413" s="144"/>
      <c r="AJ413" s="144"/>
    </row>
    <row r="414" spans="32:36">
      <c r="AF414" s="144"/>
      <c r="AG414" s="144"/>
      <c r="AH414" s="144"/>
      <c r="AI414" s="144"/>
      <c r="AJ414" s="144"/>
    </row>
    <row r="418" spans="32:36">
      <c r="AF418" s="144"/>
      <c r="AG418" s="144"/>
      <c r="AH418" s="144"/>
      <c r="AI418" s="144"/>
      <c r="AJ418" s="144"/>
    </row>
    <row r="419" spans="32:36">
      <c r="AF419" s="144"/>
      <c r="AG419" s="144"/>
      <c r="AH419" s="144"/>
      <c r="AI419" s="144"/>
      <c r="AJ419" s="144"/>
    </row>
    <row r="420" spans="32:36">
      <c r="AF420" s="144"/>
      <c r="AG420" s="144"/>
      <c r="AH420" s="144"/>
      <c r="AI420" s="144"/>
      <c r="AJ420" s="144"/>
    </row>
    <row r="421" spans="32:36">
      <c r="AF421" s="144"/>
      <c r="AG421" s="144"/>
      <c r="AH421" s="144"/>
      <c r="AI421" s="144"/>
      <c r="AJ421" s="144"/>
    </row>
    <row r="422" spans="32:36">
      <c r="AF422" s="144"/>
      <c r="AG422" s="144"/>
      <c r="AH422" s="144"/>
      <c r="AI422" s="144"/>
      <c r="AJ422" s="144"/>
    </row>
    <row r="423" spans="32:36">
      <c r="AF423" s="144"/>
      <c r="AG423" s="144"/>
      <c r="AH423" s="144"/>
      <c r="AI423" s="144"/>
      <c r="AJ423" s="144"/>
    </row>
    <row r="424" spans="32:36">
      <c r="AF424" s="144"/>
      <c r="AG424" s="144"/>
      <c r="AH424" s="144"/>
      <c r="AI424" s="144"/>
      <c r="AJ424" s="144"/>
    </row>
    <row r="425" spans="32:36">
      <c r="AF425" s="144"/>
      <c r="AG425" s="144"/>
      <c r="AH425" s="144"/>
      <c r="AI425" s="144"/>
      <c r="AJ425" s="144"/>
    </row>
    <row r="426" spans="32:36">
      <c r="AF426" s="144"/>
      <c r="AG426" s="144"/>
      <c r="AH426" s="144"/>
      <c r="AI426" s="144"/>
      <c r="AJ426" s="144"/>
    </row>
    <row r="427" spans="32:36">
      <c r="AF427" s="144"/>
      <c r="AG427" s="144"/>
      <c r="AH427" s="144"/>
      <c r="AI427" s="144"/>
      <c r="AJ427" s="144"/>
    </row>
    <row r="428" spans="32:36">
      <c r="AF428" s="144"/>
      <c r="AG428" s="144"/>
      <c r="AH428" s="144"/>
      <c r="AI428" s="144"/>
      <c r="AJ428" s="144"/>
    </row>
    <row r="429" spans="32:36">
      <c r="AF429" s="144"/>
      <c r="AG429" s="144"/>
      <c r="AH429" s="144"/>
      <c r="AI429" s="144"/>
      <c r="AJ429" s="144"/>
    </row>
    <row r="430" spans="32:36">
      <c r="AF430" s="144"/>
      <c r="AG430" s="144"/>
      <c r="AH430" s="144"/>
      <c r="AI430" s="144"/>
      <c r="AJ430" s="144"/>
    </row>
    <row r="431" spans="32:36">
      <c r="AF431" s="144"/>
      <c r="AG431" s="144"/>
      <c r="AH431" s="144"/>
      <c r="AI431" s="144"/>
      <c r="AJ431" s="144"/>
    </row>
    <row r="432" spans="32:36">
      <c r="AF432" s="144"/>
      <c r="AG432" s="144"/>
      <c r="AH432" s="144"/>
      <c r="AI432" s="144"/>
      <c r="AJ432" s="144"/>
    </row>
    <row r="433" spans="32:36">
      <c r="AF433" s="144"/>
      <c r="AG433" s="144"/>
      <c r="AH433" s="144"/>
      <c r="AI433" s="144"/>
      <c r="AJ433" s="144"/>
    </row>
    <row r="434" spans="32:36">
      <c r="AF434" s="144"/>
      <c r="AG434" s="144"/>
      <c r="AH434" s="144"/>
      <c r="AI434" s="144"/>
      <c r="AJ434" s="144"/>
    </row>
    <row r="435" spans="32:36">
      <c r="AF435" s="144"/>
      <c r="AG435" s="144"/>
      <c r="AH435" s="144"/>
      <c r="AI435" s="144"/>
      <c r="AJ435" s="144"/>
    </row>
    <row r="436" spans="32:36">
      <c r="AF436" s="144"/>
      <c r="AG436" s="144"/>
      <c r="AH436" s="144"/>
      <c r="AI436" s="144"/>
      <c r="AJ436" s="144"/>
    </row>
    <row r="437" spans="32:36">
      <c r="AF437" s="144"/>
      <c r="AG437" s="144"/>
      <c r="AH437" s="144"/>
      <c r="AI437" s="144"/>
      <c r="AJ437" s="144"/>
    </row>
    <row r="438" spans="32:36">
      <c r="AF438" s="144"/>
      <c r="AG438" s="144"/>
      <c r="AH438" s="144"/>
      <c r="AI438" s="144"/>
      <c r="AJ438" s="144"/>
    </row>
    <row r="439" spans="32:36">
      <c r="AF439" s="144"/>
      <c r="AG439" s="144"/>
      <c r="AH439" s="144"/>
      <c r="AI439" s="144"/>
      <c r="AJ439" s="144"/>
    </row>
    <row r="440" spans="32:36">
      <c r="AF440" s="144"/>
      <c r="AG440" s="144"/>
      <c r="AH440" s="144"/>
      <c r="AI440" s="144"/>
      <c r="AJ440" s="144"/>
    </row>
    <row r="441" spans="32:36">
      <c r="AF441" s="144"/>
      <c r="AG441" s="144"/>
      <c r="AH441" s="144"/>
      <c r="AI441" s="144"/>
      <c r="AJ441" s="144"/>
    </row>
    <row r="442" spans="32:36">
      <c r="AF442" s="144"/>
      <c r="AG442" s="144"/>
      <c r="AH442" s="144"/>
      <c r="AI442" s="144"/>
      <c r="AJ442" s="144"/>
    </row>
    <row r="443" spans="32:36">
      <c r="AF443" s="144"/>
      <c r="AG443" s="144"/>
      <c r="AH443" s="144"/>
      <c r="AI443" s="144"/>
      <c r="AJ443" s="144"/>
    </row>
    <row r="444" spans="32:36">
      <c r="AF444" s="144"/>
      <c r="AG444" s="144"/>
      <c r="AH444" s="144"/>
      <c r="AI444" s="144"/>
      <c r="AJ444" s="144"/>
    </row>
    <row r="445" spans="32:36">
      <c r="AF445" s="144"/>
      <c r="AG445" s="144"/>
      <c r="AH445" s="144"/>
      <c r="AI445" s="144"/>
      <c r="AJ445" s="144"/>
    </row>
    <row r="446" spans="32:36">
      <c r="AF446" s="144"/>
      <c r="AG446" s="144"/>
      <c r="AH446" s="144"/>
      <c r="AI446" s="144"/>
      <c r="AJ446" s="144"/>
    </row>
    <row r="447" spans="32:36">
      <c r="AF447" s="144"/>
      <c r="AG447" s="144"/>
      <c r="AH447" s="144"/>
      <c r="AI447" s="144"/>
      <c r="AJ447" s="144"/>
    </row>
    <row r="448" spans="32:36">
      <c r="AF448" s="144"/>
      <c r="AG448" s="144"/>
      <c r="AH448" s="144"/>
      <c r="AI448" s="144"/>
      <c r="AJ448" s="144"/>
    </row>
    <row r="449" spans="32:36">
      <c r="AF449" s="144"/>
      <c r="AG449" s="144"/>
      <c r="AH449" s="144"/>
      <c r="AI449" s="144"/>
      <c r="AJ449" s="144"/>
    </row>
    <row r="450" spans="32:36">
      <c r="AF450" s="144"/>
      <c r="AG450" s="144"/>
      <c r="AH450" s="144"/>
      <c r="AI450" s="144"/>
      <c r="AJ450" s="144"/>
    </row>
    <row r="451" spans="32:36">
      <c r="AF451" s="144"/>
      <c r="AG451" s="144"/>
      <c r="AH451" s="144"/>
      <c r="AI451" s="144"/>
      <c r="AJ451" s="144"/>
    </row>
    <row r="452" spans="32:36">
      <c r="AF452" s="144"/>
      <c r="AG452" s="144"/>
      <c r="AH452" s="144"/>
      <c r="AI452" s="144"/>
      <c r="AJ452" s="144"/>
    </row>
    <row r="453" spans="32:36">
      <c r="AF453" s="144"/>
      <c r="AG453" s="144"/>
      <c r="AH453" s="144"/>
      <c r="AI453" s="144"/>
      <c r="AJ453" s="144"/>
    </row>
    <row r="454" spans="32:36">
      <c r="AF454" s="144"/>
      <c r="AG454" s="144"/>
      <c r="AH454" s="144"/>
      <c r="AI454" s="144"/>
      <c r="AJ454" s="144"/>
    </row>
    <row r="455" spans="32:36">
      <c r="AF455" s="144"/>
      <c r="AG455" s="144"/>
      <c r="AH455" s="144"/>
      <c r="AI455" s="144"/>
      <c r="AJ455" s="144"/>
    </row>
    <row r="456" spans="32:36">
      <c r="AF456" s="144"/>
      <c r="AG456" s="144"/>
      <c r="AH456" s="144"/>
      <c r="AI456" s="144"/>
      <c r="AJ456" s="144"/>
    </row>
    <row r="457" spans="32:36">
      <c r="AF457" s="144"/>
      <c r="AG457" s="144"/>
      <c r="AH457" s="144"/>
      <c r="AI457" s="144"/>
      <c r="AJ457" s="144"/>
    </row>
    <row r="458" spans="32:36">
      <c r="AF458" s="144"/>
      <c r="AG458" s="144"/>
      <c r="AH458" s="144"/>
      <c r="AI458" s="144"/>
      <c r="AJ458" s="144"/>
    </row>
    <row r="459" spans="32:36">
      <c r="AF459" s="144"/>
      <c r="AG459" s="144"/>
      <c r="AH459" s="144"/>
      <c r="AI459" s="144"/>
      <c r="AJ459" s="144"/>
    </row>
    <row r="460" spans="32:36">
      <c r="AF460" s="144"/>
      <c r="AG460" s="144"/>
      <c r="AH460" s="144"/>
      <c r="AI460" s="144"/>
      <c r="AJ460" s="144"/>
    </row>
    <row r="461" spans="32:36">
      <c r="AF461" s="144"/>
      <c r="AG461" s="144"/>
      <c r="AH461" s="144"/>
      <c r="AI461" s="144"/>
      <c r="AJ461" s="144"/>
    </row>
    <row r="462" spans="32:36">
      <c r="AF462" s="144"/>
      <c r="AG462" s="144"/>
      <c r="AH462" s="144"/>
      <c r="AI462" s="144"/>
      <c r="AJ462" s="144"/>
    </row>
    <row r="463" spans="32:36">
      <c r="AF463" s="144"/>
      <c r="AG463" s="144"/>
      <c r="AH463" s="144"/>
      <c r="AI463" s="144"/>
      <c r="AJ463" s="144"/>
    </row>
    <row r="464" spans="32:36">
      <c r="AF464" s="144"/>
      <c r="AG464" s="144"/>
      <c r="AH464" s="144"/>
      <c r="AI464" s="144"/>
      <c r="AJ464" s="144"/>
    </row>
    <row r="465" spans="32:36">
      <c r="AF465" s="144"/>
      <c r="AG465" s="144"/>
      <c r="AH465" s="144"/>
      <c r="AI465" s="144"/>
      <c r="AJ465" s="144"/>
    </row>
    <row r="466" spans="32:36">
      <c r="AF466" s="144"/>
      <c r="AG466" s="144"/>
      <c r="AH466" s="144"/>
      <c r="AI466" s="144"/>
      <c r="AJ466" s="144"/>
    </row>
    <row r="467" spans="32:36">
      <c r="AF467" s="144"/>
      <c r="AG467" s="144"/>
      <c r="AH467" s="144"/>
      <c r="AI467" s="144"/>
      <c r="AJ467" s="144"/>
    </row>
    <row r="468" spans="32:36">
      <c r="AF468" s="144"/>
      <c r="AG468" s="144"/>
      <c r="AH468" s="144"/>
      <c r="AI468" s="144"/>
      <c r="AJ468" s="144"/>
    </row>
    <row r="469" spans="32:36">
      <c r="AF469" s="144"/>
      <c r="AG469" s="144"/>
      <c r="AH469" s="144"/>
      <c r="AI469" s="144"/>
      <c r="AJ469" s="144"/>
    </row>
    <row r="470" spans="32:36">
      <c r="AF470" s="144"/>
      <c r="AG470" s="144"/>
      <c r="AH470" s="144"/>
      <c r="AI470" s="144"/>
      <c r="AJ470" s="144"/>
    </row>
    <row r="471" spans="32:36">
      <c r="AF471" s="144"/>
      <c r="AG471" s="144"/>
      <c r="AH471" s="144"/>
      <c r="AI471" s="144"/>
      <c r="AJ471" s="144"/>
    </row>
    <row r="472" spans="32:36">
      <c r="AF472" s="144"/>
      <c r="AG472" s="144"/>
      <c r="AH472" s="144"/>
      <c r="AI472" s="144"/>
      <c r="AJ472" s="144"/>
    </row>
    <row r="473" spans="32:36">
      <c r="AF473" s="144"/>
      <c r="AG473" s="144"/>
      <c r="AH473" s="144"/>
      <c r="AI473" s="144"/>
      <c r="AJ473" s="144"/>
    </row>
    <row r="474" spans="32:36">
      <c r="AF474" s="144"/>
      <c r="AG474" s="144"/>
      <c r="AH474" s="144"/>
      <c r="AI474" s="144"/>
      <c r="AJ474" s="144"/>
    </row>
    <row r="475" spans="32:36">
      <c r="AF475" s="144"/>
      <c r="AG475" s="144"/>
      <c r="AH475" s="144"/>
      <c r="AI475" s="144"/>
      <c r="AJ475" s="144"/>
    </row>
    <row r="476" spans="32:36">
      <c r="AF476" s="144"/>
      <c r="AG476" s="144"/>
      <c r="AH476" s="144"/>
      <c r="AI476" s="144"/>
      <c r="AJ476" s="144"/>
    </row>
    <row r="477" spans="32:36">
      <c r="AF477" s="144"/>
      <c r="AG477" s="144"/>
      <c r="AH477" s="144"/>
      <c r="AI477" s="144"/>
      <c r="AJ477" s="144"/>
    </row>
    <row r="478" spans="32:36">
      <c r="AF478" s="144"/>
      <c r="AG478" s="144"/>
      <c r="AH478" s="144"/>
      <c r="AI478" s="144"/>
      <c r="AJ478" s="144"/>
    </row>
    <row r="479" spans="32:36">
      <c r="AF479" s="144"/>
      <c r="AG479" s="144"/>
      <c r="AH479" s="144"/>
      <c r="AI479" s="144"/>
      <c r="AJ479" s="144"/>
    </row>
    <row r="480" spans="32:36">
      <c r="AF480" s="144"/>
      <c r="AG480" s="144"/>
      <c r="AH480" s="144"/>
      <c r="AI480" s="144"/>
      <c r="AJ480" s="144"/>
    </row>
    <row r="481" spans="32:36">
      <c r="AF481" s="144"/>
      <c r="AG481" s="144"/>
      <c r="AH481" s="144"/>
      <c r="AI481" s="144"/>
      <c r="AJ481" s="144"/>
    </row>
    <row r="482" spans="32:36">
      <c r="AF482" s="144"/>
      <c r="AG482" s="144"/>
      <c r="AH482" s="144"/>
      <c r="AI482" s="144"/>
      <c r="AJ482" s="144"/>
    </row>
    <row r="483" spans="32:36">
      <c r="AF483" s="144"/>
      <c r="AG483" s="144"/>
      <c r="AH483" s="144"/>
      <c r="AI483" s="144"/>
      <c r="AJ483" s="144"/>
    </row>
    <row r="484" spans="32:36">
      <c r="AF484" s="144"/>
      <c r="AG484" s="144"/>
      <c r="AH484" s="144"/>
      <c r="AI484" s="144"/>
      <c r="AJ484" s="144"/>
    </row>
    <row r="485" spans="32:36">
      <c r="AF485" s="144"/>
      <c r="AG485" s="144"/>
      <c r="AH485" s="144"/>
      <c r="AI485" s="144"/>
      <c r="AJ485" s="144"/>
    </row>
    <row r="486" spans="32:36">
      <c r="AF486" s="144"/>
      <c r="AG486" s="144"/>
      <c r="AH486" s="144"/>
      <c r="AI486" s="144"/>
      <c r="AJ486" s="144"/>
    </row>
    <row r="487" spans="32:36">
      <c r="AF487" s="144"/>
      <c r="AG487" s="144"/>
      <c r="AH487" s="144"/>
      <c r="AI487" s="144"/>
      <c r="AJ487" s="144"/>
    </row>
    <row r="488" spans="32:36">
      <c r="AF488" s="144"/>
      <c r="AG488" s="144"/>
      <c r="AH488" s="144"/>
      <c r="AI488" s="144"/>
      <c r="AJ488" s="144"/>
    </row>
    <row r="489" spans="32:36">
      <c r="AF489" s="144"/>
      <c r="AG489" s="144"/>
      <c r="AH489" s="144"/>
      <c r="AI489" s="144"/>
      <c r="AJ489" s="144"/>
    </row>
    <row r="490" spans="32:36">
      <c r="AF490" s="144"/>
      <c r="AG490" s="144"/>
      <c r="AH490" s="144"/>
      <c r="AI490" s="144"/>
      <c r="AJ490" s="144"/>
    </row>
    <row r="491" spans="32:36">
      <c r="AF491" s="144"/>
      <c r="AG491" s="144"/>
      <c r="AH491" s="144"/>
      <c r="AI491" s="144"/>
      <c r="AJ491" s="144"/>
    </row>
    <row r="492" spans="32:36">
      <c r="AF492" s="144"/>
      <c r="AG492" s="144"/>
      <c r="AH492" s="144"/>
      <c r="AI492" s="144"/>
      <c r="AJ492" s="144"/>
    </row>
    <row r="493" spans="32:36">
      <c r="AF493" s="144"/>
      <c r="AG493" s="144"/>
      <c r="AH493" s="144"/>
      <c r="AI493" s="144"/>
      <c r="AJ493" s="144"/>
    </row>
    <row r="494" spans="32:36">
      <c r="AF494" s="144"/>
      <c r="AG494" s="144"/>
      <c r="AH494" s="144"/>
      <c r="AI494" s="144"/>
      <c r="AJ494" s="144"/>
    </row>
    <row r="495" spans="32:36">
      <c r="AF495" s="144"/>
      <c r="AG495" s="144"/>
      <c r="AH495" s="144"/>
      <c r="AI495" s="144"/>
      <c r="AJ495" s="144"/>
    </row>
    <row r="496" spans="32:36">
      <c r="AF496" s="144"/>
      <c r="AG496" s="144"/>
      <c r="AH496" s="144"/>
      <c r="AI496" s="144"/>
      <c r="AJ496" s="144"/>
    </row>
    <row r="497" spans="32:36">
      <c r="AF497" s="144"/>
      <c r="AG497" s="144"/>
      <c r="AH497" s="144"/>
      <c r="AI497" s="144"/>
      <c r="AJ497" s="144"/>
    </row>
    <row r="498" spans="32:36">
      <c r="AF498" s="144"/>
      <c r="AG498" s="144"/>
      <c r="AH498" s="144"/>
      <c r="AI498" s="144"/>
      <c r="AJ498" s="144"/>
    </row>
    <row r="499" spans="32:36">
      <c r="AF499" s="144"/>
      <c r="AG499" s="144"/>
      <c r="AH499" s="144"/>
      <c r="AI499" s="144"/>
      <c r="AJ499" s="144"/>
    </row>
    <row r="500" spans="32:36">
      <c r="AF500" s="144"/>
      <c r="AG500" s="144"/>
      <c r="AH500" s="144"/>
      <c r="AI500" s="144"/>
      <c r="AJ500" s="144"/>
    </row>
    <row r="501" spans="32:36">
      <c r="AF501" s="144"/>
      <c r="AG501" s="144"/>
      <c r="AH501" s="144"/>
      <c r="AI501" s="144"/>
      <c r="AJ501" s="144"/>
    </row>
    <row r="502" spans="32:36">
      <c r="AF502" s="144"/>
      <c r="AG502" s="144"/>
      <c r="AH502" s="144"/>
      <c r="AI502" s="144"/>
      <c r="AJ502" s="144"/>
    </row>
    <row r="503" spans="32:36">
      <c r="AF503" s="144"/>
      <c r="AG503" s="144"/>
      <c r="AH503" s="144"/>
      <c r="AI503" s="144"/>
      <c r="AJ503" s="144"/>
    </row>
    <row r="504" spans="32:36">
      <c r="AF504" s="144"/>
      <c r="AG504" s="144"/>
      <c r="AH504" s="144"/>
      <c r="AI504" s="144"/>
      <c r="AJ504" s="144"/>
    </row>
    <row r="505" spans="32:36">
      <c r="AF505" s="144"/>
      <c r="AG505" s="144"/>
      <c r="AH505" s="144"/>
      <c r="AI505" s="144"/>
      <c r="AJ505" s="144"/>
    </row>
    <row r="506" spans="32:36">
      <c r="AF506" s="144"/>
      <c r="AG506" s="144"/>
      <c r="AH506" s="144"/>
      <c r="AI506" s="144"/>
      <c r="AJ506" s="144"/>
    </row>
    <row r="507" spans="32:36">
      <c r="AF507" s="144"/>
      <c r="AG507" s="144"/>
      <c r="AH507" s="144"/>
      <c r="AI507" s="144"/>
      <c r="AJ507" s="144"/>
    </row>
    <row r="508" spans="32:36">
      <c r="AF508" s="144"/>
      <c r="AG508" s="144"/>
      <c r="AH508" s="144"/>
      <c r="AI508" s="144"/>
      <c r="AJ508" s="144"/>
    </row>
    <row r="509" spans="32:36">
      <c r="AF509" s="144"/>
      <c r="AG509" s="144"/>
      <c r="AH509" s="144"/>
      <c r="AI509" s="144"/>
      <c r="AJ509" s="144"/>
    </row>
    <row r="510" spans="32:36">
      <c r="AF510" s="144"/>
      <c r="AG510" s="144"/>
      <c r="AH510" s="144"/>
      <c r="AI510" s="144"/>
      <c r="AJ510" s="144"/>
    </row>
    <row r="511" spans="32:36">
      <c r="AF511" s="144"/>
      <c r="AG511" s="144"/>
      <c r="AH511" s="144"/>
      <c r="AI511" s="144"/>
      <c r="AJ511" s="144"/>
    </row>
    <row r="512" spans="32:36">
      <c r="AF512" s="144"/>
      <c r="AG512" s="144"/>
      <c r="AH512" s="144"/>
      <c r="AI512" s="144"/>
      <c r="AJ512" s="144"/>
    </row>
    <row r="513" spans="32:36">
      <c r="AF513" s="144"/>
      <c r="AG513" s="144"/>
      <c r="AH513" s="144"/>
      <c r="AI513" s="144"/>
      <c r="AJ513" s="144"/>
    </row>
    <row r="514" spans="32:36">
      <c r="AF514" s="144"/>
      <c r="AG514" s="144"/>
      <c r="AH514" s="144"/>
      <c r="AI514" s="144"/>
      <c r="AJ514" s="144"/>
    </row>
    <row r="515" spans="32:36">
      <c r="AF515" s="144"/>
      <c r="AG515" s="144"/>
      <c r="AH515" s="144"/>
      <c r="AI515" s="144"/>
      <c r="AJ515" s="144"/>
    </row>
    <row r="516" spans="32:36">
      <c r="AF516" s="144"/>
      <c r="AG516" s="144"/>
      <c r="AH516" s="144"/>
      <c r="AI516" s="144"/>
      <c r="AJ516" s="144"/>
    </row>
    <row r="517" spans="32:36">
      <c r="AF517" s="144"/>
      <c r="AG517" s="144"/>
      <c r="AH517" s="144"/>
      <c r="AI517" s="144"/>
      <c r="AJ517" s="144"/>
    </row>
    <row r="518" spans="32:36">
      <c r="AF518" s="144"/>
      <c r="AG518" s="144"/>
      <c r="AH518" s="144"/>
      <c r="AI518" s="144"/>
      <c r="AJ518" s="144"/>
    </row>
    <row r="519" spans="32:36">
      <c r="AF519" s="144"/>
      <c r="AG519" s="144"/>
      <c r="AH519" s="144"/>
      <c r="AI519" s="144"/>
      <c r="AJ519" s="144"/>
    </row>
    <row r="520" spans="32:36">
      <c r="AF520" s="144"/>
      <c r="AG520" s="144"/>
      <c r="AH520" s="144"/>
      <c r="AI520" s="144"/>
      <c r="AJ520" s="144"/>
    </row>
    <row r="521" spans="32:36">
      <c r="AF521" s="144"/>
      <c r="AG521" s="144"/>
      <c r="AH521" s="144"/>
      <c r="AI521" s="144"/>
      <c r="AJ521" s="144"/>
    </row>
    <row r="522" spans="32:36">
      <c r="AF522" s="144"/>
      <c r="AG522" s="144"/>
      <c r="AH522" s="144"/>
      <c r="AI522" s="144"/>
      <c r="AJ522" s="144"/>
    </row>
    <row r="523" spans="32:36">
      <c r="AF523" s="144"/>
      <c r="AG523" s="144"/>
      <c r="AH523" s="144"/>
      <c r="AI523" s="144"/>
      <c r="AJ523" s="144"/>
    </row>
    <row r="524" spans="32:36">
      <c r="AF524" s="144"/>
      <c r="AG524" s="144"/>
      <c r="AH524" s="144"/>
      <c r="AI524" s="144"/>
      <c r="AJ524" s="144"/>
    </row>
    <row r="525" spans="32:36">
      <c r="AF525" s="144"/>
      <c r="AG525" s="144"/>
      <c r="AH525" s="144"/>
      <c r="AI525" s="144"/>
      <c r="AJ525" s="144"/>
    </row>
    <row r="526" spans="32:36">
      <c r="AF526" s="144"/>
      <c r="AG526" s="144"/>
      <c r="AH526" s="144"/>
      <c r="AI526" s="144"/>
      <c r="AJ526" s="144"/>
    </row>
    <row r="527" spans="32:36">
      <c r="AF527" s="144"/>
      <c r="AG527" s="144"/>
      <c r="AH527" s="144"/>
      <c r="AI527" s="144"/>
      <c r="AJ527" s="144"/>
    </row>
    <row r="528" spans="32:36">
      <c r="AF528" s="144"/>
      <c r="AG528" s="144"/>
      <c r="AH528" s="144"/>
      <c r="AI528" s="144"/>
      <c r="AJ528" s="144"/>
    </row>
    <row r="529" spans="32:36">
      <c r="AF529" s="144"/>
      <c r="AG529" s="144"/>
      <c r="AH529" s="144"/>
      <c r="AI529" s="144"/>
      <c r="AJ529" s="144"/>
    </row>
    <row r="530" spans="32:36">
      <c r="AF530" s="144"/>
      <c r="AG530" s="144"/>
      <c r="AH530" s="144"/>
      <c r="AI530" s="144"/>
      <c r="AJ530" s="144"/>
    </row>
    <row r="531" spans="32:36">
      <c r="AF531" s="144"/>
      <c r="AG531" s="144"/>
      <c r="AH531" s="144"/>
      <c r="AI531" s="144"/>
      <c r="AJ531" s="144"/>
    </row>
    <row r="532" spans="32:36">
      <c r="AF532" s="144"/>
      <c r="AG532" s="144"/>
      <c r="AH532" s="144"/>
      <c r="AI532" s="144"/>
      <c r="AJ532" s="144"/>
    </row>
    <row r="533" spans="32:36">
      <c r="AF533" s="144"/>
      <c r="AG533" s="144"/>
      <c r="AH533" s="144"/>
      <c r="AI533" s="144"/>
      <c r="AJ533" s="144"/>
    </row>
    <row r="534" spans="32:36">
      <c r="AF534" s="144"/>
      <c r="AG534" s="144"/>
      <c r="AH534" s="144"/>
      <c r="AI534" s="144"/>
      <c r="AJ534" s="144"/>
    </row>
    <row r="535" spans="32:36">
      <c r="AF535" s="144"/>
      <c r="AG535" s="144"/>
      <c r="AH535" s="144"/>
      <c r="AI535" s="144"/>
      <c r="AJ535" s="144"/>
    </row>
    <row r="536" spans="32:36">
      <c r="AF536" s="144"/>
      <c r="AG536" s="144"/>
      <c r="AH536" s="144"/>
      <c r="AI536" s="144"/>
      <c r="AJ536" s="144"/>
    </row>
    <row r="537" spans="32:36">
      <c r="AF537" s="144"/>
      <c r="AG537" s="144"/>
      <c r="AH537" s="144"/>
      <c r="AI537" s="144"/>
      <c r="AJ537" s="144"/>
    </row>
    <row r="538" spans="32:36">
      <c r="AF538" s="144"/>
      <c r="AG538" s="144"/>
      <c r="AH538" s="144"/>
      <c r="AI538" s="144"/>
      <c r="AJ538" s="144"/>
    </row>
    <row r="539" spans="32:36">
      <c r="AF539" s="144"/>
      <c r="AG539" s="144"/>
      <c r="AH539" s="144"/>
      <c r="AI539" s="144"/>
      <c r="AJ539" s="144"/>
    </row>
    <row r="540" spans="32:36">
      <c r="AF540" s="144"/>
      <c r="AG540" s="144"/>
      <c r="AH540" s="144"/>
      <c r="AI540" s="144"/>
      <c r="AJ540" s="144"/>
    </row>
    <row r="541" spans="32:36">
      <c r="AF541" s="144"/>
      <c r="AG541" s="144"/>
      <c r="AH541" s="144"/>
      <c r="AI541" s="144"/>
      <c r="AJ541" s="144"/>
    </row>
    <row r="542" spans="32:36">
      <c r="AF542" s="144"/>
      <c r="AG542" s="144"/>
      <c r="AH542" s="144"/>
      <c r="AI542" s="144"/>
      <c r="AJ542" s="144"/>
    </row>
    <row r="543" spans="32:36">
      <c r="AF543" s="144"/>
      <c r="AG543" s="144"/>
      <c r="AH543" s="144"/>
      <c r="AI543" s="144"/>
      <c r="AJ543" s="144"/>
    </row>
    <row r="544" spans="32:36">
      <c r="AF544" s="144"/>
      <c r="AG544" s="144"/>
      <c r="AH544" s="144"/>
      <c r="AI544" s="144"/>
      <c r="AJ544" s="144"/>
    </row>
    <row r="545" spans="32:36">
      <c r="AF545" s="144"/>
      <c r="AG545" s="144"/>
      <c r="AH545" s="144"/>
      <c r="AI545" s="144"/>
      <c r="AJ545" s="144"/>
    </row>
    <row r="546" spans="32:36">
      <c r="AF546" s="144"/>
      <c r="AG546" s="144"/>
      <c r="AH546" s="144"/>
      <c r="AI546" s="144"/>
      <c r="AJ546" s="144"/>
    </row>
    <row r="547" spans="32:36">
      <c r="AF547" s="144"/>
      <c r="AG547" s="144"/>
      <c r="AH547" s="144"/>
      <c r="AI547" s="144"/>
      <c r="AJ547" s="144"/>
    </row>
    <row r="548" spans="32:36">
      <c r="AF548" s="144"/>
      <c r="AG548" s="144"/>
      <c r="AH548" s="144"/>
      <c r="AI548" s="144"/>
      <c r="AJ548" s="144"/>
    </row>
    <row r="549" spans="32:36">
      <c r="AF549" s="144"/>
      <c r="AG549" s="144"/>
      <c r="AH549" s="144"/>
      <c r="AI549" s="144"/>
      <c r="AJ549" s="144"/>
    </row>
    <row r="550" spans="32:36">
      <c r="AF550" s="144"/>
      <c r="AG550" s="144"/>
      <c r="AH550" s="144"/>
      <c r="AI550" s="144"/>
      <c r="AJ550" s="144"/>
    </row>
    <row r="551" spans="32:36">
      <c r="AF551" s="144"/>
      <c r="AG551" s="144"/>
      <c r="AH551" s="144"/>
      <c r="AI551" s="144"/>
      <c r="AJ551" s="144"/>
    </row>
    <row r="552" spans="32:36">
      <c r="AF552" s="144"/>
      <c r="AG552" s="144"/>
      <c r="AH552" s="144"/>
      <c r="AI552" s="144"/>
      <c r="AJ552" s="144"/>
    </row>
    <row r="553" spans="32:36">
      <c r="AF553" s="144"/>
      <c r="AG553" s="144"/>
      <c r="AH553" s="144"/>
      <c r="AI553" s="144"/>
      <c r="AJ553" s="144"/>
    </row>
    <row r="554" spans="32:36">
      <c r="AF554" s="144"/>
      <c r="AG554" s="144"/>
      <c r="AH554" s="144"/>
      <c r="AI554" s="144"/>
      <c r="AJ554" s="144"/>
    </row>
    <row r="555" spans="32:36">
      <c r="AF555" s="144"/>
      <c r="AG555" s="144"/>
      <c r="AH555" s="144"/>
      <c r="AI555" s="144"/>
      <c r="AJ555" s="144"/>
    </row>
    <row r="556" spans="32:36">
      <c r="AF556" s="144"/>
      <c r="AG556" s="144"/>
      <c r="AH556" s="144"/>
      <c r="AI556" s="144"/>
      <c r="AJ556" s="144"/>
    </row>
    <row r="557" spans="32:36">
      <c r="AF557" s="144"/>
      <c r="AG557" s="144"/>
      <c r="AH557" s="144"/>
      <c r="AI557" s="144"/>
      <c r="AJ557" s="144"/>
    </row>
    <row r="558" spans="32:36">
      <c r="AF558" s="144"/>
      <c r="AG558" s="144"/>
      <c r="AH558" s="144"/>
      <c r="AI558" s="144"/>
      <c r="AJ558" s="144"/>
    </row>
    <row r="559" spans="32:36">
      <c r="AF559" s="144"/>
      <c r="AG559" s="144"/>
      <c r="AH559" s="144"/>
      <c r="AI559" s="144"/>
      <c r="AJ559" s="144"/>
    </row>
    <row r="560" spans="32:36">
      <c r="AF560" s="144"/>
      <c r="AG560" s="144"/>
      <c r="AH560" s="144"/>
      <c r="AI560" s="144"/>
      <c r="AJ560" s="144"/>
    </row>
    <row r="561" spans="32:36">
      <c r="AF561" s="144"/>
      <c r="AG561" s="144"/>
      <c r="AH561" s="144"/>
      <c r="AI561" s="144"/>
      <c r="AJ561" s="144"/>
    </row>
    <row r="562" spans="32:36">
      <c r="AF562" s="144"/>
      <c r="AG562" s="144"/>
      <c r="AH562" s="144"/>
      <c r="AI562" s="144"/>
      <c r="AJ562" s="144"/>
    </row>
    <row r="563" spans="32:36">
      <c r="AF563" s="144"/>
      <c r="AG563" s="144"/>
      <c r="AH563" s="144"/>
      <c r="AI563" s="144"/>
      <c r="AJ563" s="144"/>
    </row>
    <row r="564" spans="32:36">
      <c r="AF564" s="144"/>
      <c r="AG564" s="144"/>
      <c r="AH564" s="144"/>
      <c r="AI564" s="144"/>
      <c r="AJ564" s="144"/>
    </row>
    <row r="565" spans="32:36">
      <c r="AF565" s="144"/>
      <c r="AG565" s="144"/>
      <c r="AH565" s="144"/>
      <c r="AI565" s="144"/>
      <c r="AJ565" s="144"/>
    </row>
    <row r="566" spans="32:36">
      <c r="AF566" s="144"/>
      <c r="AG566" s="144"/>
      <c r="AH566" s="144"/>
      <c r="AI566" s="144"/>
      <c r="AJ566" s="144"/>
    </row>
    <row r="567" spans="32:36">
      <c r="AF567" s="144"/>
      <c r="AG567" s="144"/>
      <c r="AH567" s="144"/>
      <c r="AI567" s="144"/>
      <c r="AJ567" s="144"/>
    </row>
    <row r="568" spans="32:36">
      <c r="AF568" s="144"/>
      <c r="AG568" s="144"/>
      <c r="AH568" s="144"/>
      <c r="AI568" s="144"/>
      <c r="AJ568" s="144"/>
    </row>
    <row r="569" spans="32:36">
      <c r="AF569" s="144"/>
      <c r="AG569" s="144"/>
      <c r="AH569" s="144"/>
      <c r="AI569" s="144"/>
      <c r="AJ569" s="144"/>
    </row>
    <row r="570" spans="32:36">
      <c r="AF570" s="144"/>
      <c r="AG570" s="144"/>
      <c r="AH570" s="144"/>
      <c r="AI570" s="144"/>
      <c r="AJ570" s="144"/>
    </row>
    <row r="571" spans="32:36">
      <c r="AF571" s="144"/>
      <c r="AG571" s="144"/>
      <c r="AH571" s="144"/>
      <c r="AI571" s="144"/>
      <c r="AJ571" s="144"/>
    </row>
    <row r="572" spans="32:36">
      <c r="AF572" s="144"/>
      <c r="AG572" s="144"/>
      <c r="AH572" s="144"/>
      <c r="AI572" s="144"/>
      <c r="AJ572" s="144"/>
    </row>
    <row r="573" spans="32:36">
      <c r="AF573" s="144"/>
      <c r="AG573" s="144"/>
      <c r="AH573" s="144"/>
      <c r="AI573" s="144"/>
      <c r="AJ573" s="144"/>
    </row>
    <row r="574" spans="32:36">
      <c r="AF574" s="144"/>
      <c r="AG574" s="144"/>
      <c r="AH574" s="144"/>
      <c r="AI574" s="144"/>
      <c r="AJ574" s="144"/>
    </row>
    <row r="575" spans="32:36">
      <c r="AF575" s="144"/>
      <c r="AG575" s="144"/>
      <c r="AH575" s="144"/>
      <c r="AI575" s="144"/>
      <c r="AJ575" s="144"/>
    </row>
    <row r="576" spans="32:36">
      <c r="AF576" s="144"/>
      <c r="AG576" s="144"/>
      <c r="AH576" s="144"/>
      <c r="AI576" s="144"/>
      <c r="AJ576" s="144"/>
    </row>
    <row r="577" spans="32:36">
      <c r="AF577" s="144"/>
      <c r="AG577" s="144"/>
      <c r="AH577" s="144"/>
      <c r="AI577" s="144"/>
      <c r="AJ577" s="144"/>
    </row>
    <row r="578" spans="32:36">
      <c r="AF578" s="144"/>
      <c r="AG578" s="144"/>
      <c r="AH578" s="144"/>
      <c r="AI578" s="144"/>
      <c r="AJ578" s="144"/>
    </row>
    <row r="579" spans="32:36">
      <c r="AF579" s="144"/>
      <c r="AG579" s="144"/>
      <c r="AH579" s="144"/>
      <c r="AI579" s="144"/>
      <c r="AJ579" s="144"/>
    </row>
    <row r="580" spans="32:36">
      <c r="AF580" s="144"/>
      <c r="AG580" s="144"/>
      <c r="AH580" s="144"/>
      <c r="AI580" s="144"/>
      <c r="AJ580" s="144"/>
    </row>
    <row r="581" spans="32:36">
      <c r="AF581" s="144"/>
      <c r="AG581" s="144"/>
      <c r="AH581" s="144"/>
      <c r="AI581" s="144"/>
      <c r="AJ581" s="144"/>
    </row>
    <row r="582" spans="32:36">
      <c r="AF582" s="144"/>
      <c r="AG582" s="144"/>
      <c r="AH582" s="144"/>
      <c r="AI582" s="144"/>
      <c r="AJ582" s="144"/>
    </row>
    <row r="583" spans="32:36">
      <c r="AF583" s="144"/>
      <c r="AG583" s="144"/>
      <c r="AH583" s="144"/>
      <c r="AI583" s="144"/>
      <c r="AJ583" s="144"/>
    </row>
    <row r="584" spans="32:36">
      <c r="AF584" s="144"/>
      <c r="AG584" s="144"/>
      <c r="AH584" s="144"/>
      <c r="AI584" s="144"/>
      <c r="AJ584" s="144"/>
    </row>
    <row r="585" spans="32:36">
      <c r="AF585" s="144"/>
      <c r="AG585" s="144"/>
      <c r="AH585" s="144"/>
      <c r="AI585" s="144"/>
      <c r="AJ585" s="144"/>
    </row>
    <row r="586" spans="32:36">
      <c r="AF586" s="144"/>
      <c r="AG586" s="144"/>
      <c r="AH586" s="144"/>
      <c r="AI586" s="144"/>
      <c r="AJ586" s="144"/>
    </row>
    <row r="587" spans="32:36">
      <c r="AF587" s="144"/>
      <c r="AG587" s="144"/>
      <c r="AH587" s="144"/>
      <c r="AI587" s="144"/>
      <c r="AJ587" s="144"/>
    </row>
    <row r="588" spans="32:36">
      <c r="AF588" s="144"/>
      <c r="AG588" s="144"/>
      <c r="AH588" s="144"/>
      <c r="AI588" s="144"/>
      <c r="AJ588" s="144"/>
    </row>
    <row r="589" spans="32:36">
      <c r="AF589" s="144"/>
      <c r="AG589" s="144"/>
      <c r="AH589" s="144"/>
      <c r="AI589" s="144"/>
      <c r="AJ589" s="144"/>
    </row>
    <row r="590" spans="32:36">
      <c r="AF590" s="144"/>
      <c r="AG590" s="144"/>
      <c r="AH590" s="144"/>
      <c r="AI590" s="144"/>
      <c r="AJ590" s="144"/>
    </row>
    <row r="591" spans="32:36">
      <c r="AF591" s="144"/>
      <c r="AG591" s="144"/>
      <c r="AH591" s="144"/>
      <c r="AI591" s="144"/>
      <c r="AJ591" s="144"/>
    </row>
    <row r="592" spans="32:36">
      <c r="AF592" s="144"/>
      <c r="AG592" s="144"/>
      <c r="AH592" s="144"/>
      <c r="AI592" s="144"/>
      <c r="AJ592" s="144"/>
    </row>
    <row r="593" spans="32:36">
      <c r="AF593" s="144"/>
      <c r="AG593" s="144"/>
      <c r="AH593" s="144"/>
      <c r="AI593" s="144"/>
      <c r="AJ593" s="144"/>
    </row>
    <row r="594" spans="32:36">
      <c r="AF594" s="144"/>
      <c r="AG594" s="144"/>
      <c r="AH594" s="144"/>
      <c r="AI594" s="144"/>
      <c r="AJ594" s="144"/>
    </row>
    <row r="595" spans="32:36">
      <c r="AF595" s="144"/>
      <c r="AG595" s="144"/>
      <c r="AH595" s="144"/>
      <c r="AI595" s="144"/>
      <c r="AJ595" s="144"/>
    </row>
    <row r="596" spans="32:36">
      <c r="AF596" s="144"/>
      <c r="AG596" s="144"/>
      <c r="AH596" s="144"/>
      <c r="AI596" s="144"/>
      <c r="AJ596" s="144"/>
    </row>
    <row r="597" spans="32:36">
      <c r="AF597" s="144"/>
      <c r="AG597" s="144"/>
      <c r="AH597" s="144"/>
      <c r="AI597" s="144"/>
      <c r="AJ597" s="144"/>
    </row>
    <row r="598" spans="32:36">
      <c r="AF598" s="144"/>
      <c r="AG598" s="144"/>
      <c r="AH598" s="144"/>
      <c r="AI598" s="144"/>
      <c r="AJ598" s="144"/>
    </row>
    <row r="599" spans="32:36">
      <c r="AF599" s="144"/>
      <c r="AG599" s="144"/>
      <c r="AH599" s="144"/>
      <c r="AI599" s="144"/>
      <c r="AJ599" s="144"/>
    </row>
    <row r="600" spans="32:36">
      <c r="AF600" s="144"/>
      <c r="AG600" s="144"/>
      <c r="AH600" s="144"/>
      <c r="AI600" s="144"/>
      <c r="AJ600" s="144"/>
    </row>
    <row r="601" spans="32:36">
      <c r="AF601" s="144"/>
      <c r="AG601" s="144"/>
      <c r="AH601" s="144"/>
      <c r="AI601" s="144"/>
      <c r="AJ601" s="144"/>
    </row>
    <row r="602" spans="32:36">
      <c r="AF602" s="144"/>
      <c r="AG602" s="144"/>
      <c r="AH602" s="144"/>
      <c r="AI602" s="144"/>
      <c r="AJ602" s="144"/>
    </row>
    <row r="603" spans="32:36">
      <c r="AF603" s="144"/>
      <c r="AG603" s="144"/>
      <c r="AH603" s="144"/>
      <c r="AI603" s="144"/>
      <c r="AJ603" s="144"/>
    </row>
    <row r="604" spans="32:36">
      <c r="AF604" s="144"/>
      <c r="AG604" s="144"/>
      <c r="AH604" s="144"/>
      <c r="AI604" s="144"/>
      <c r="AJ604" s="144"/>
    </row>
    <row r="605" spans="32:36">
      <c r="AF605" s="144"/>
      <c r="AG605" s="144"/>
      <c r="AH605" s="144"/>
      <c r="AI605" s="144"/>
      <c r="AJ605" s="144"/>
    </row>
    <row r="606" spans="32:36">
      <c r="AF606" s="144"/>
      <c r="AG606" s="144"/>
      <c r="AH606" s="144"/>
      <c r="AI606" s="144"/>
      <c r="AJ606" s="144"/>
    </row>
    <row r="607" spans="32:36">
      <c r="AF607" s="144"/>
      <c r="AG607" s="144"/>
      <c r="AH607" s="144"/>
      <c r="AI607" s="144"/>
      <c r="AJ607" s="144"/>
    </row>
    <row r="608" spans="32:36">
      <c r="AF608" s="144"/>
      <c r="AG608" s="144"/>
      <c r="AH608" s="144"/>
      <c r="AI608" s="144"/>
      <c r="AJ608" s="144"/>
    </row>
    <row r="609" spans="32:36">
      <c r="AF609" s="144"/>
      <c r="AG609" s="144"/>
      <c r="AH609" s="144"/>
      <c r="AI609" s="144"/>
      <c r="AJ609" s="144"/>
    </row>
    <row r="610" spans="32:36">
      <c r="AF610" s="144"/>
      <c r="AG610" s="144"/>
      <c r="AH610" s="144"/>
      <c r="AI610" s="144"/>
      <c r="AJ610" s="144"/>
    </row>
    <row r="611" spans="32:36">
      <c r="AF611" s="144"/>
      <c r="AG611" s="144"/>
      <c r="AH611" s="144"/>
      <c r="AI611" s="144"/>
      <c r="AJ611" s="144"/>
    </row>
    <row r="612" spans="32:36">
      <c r="AF612" s="144"/>
      <c r="AG612" s="144"/>
      <c r="AH612" s="144"/>
      <c r="AI612" s="144"/>
      <c r="AJ612" s="144"/>
    </row>
    <row r="613" spans="32:36">
      <c r="AF613" s="144"/>
      <c r="AG613" s="144"/>
      <c r="AH613" s="144"/>
      <c r="AI613" s="144"/>
      <c r="AJ613" s="144"/>
    </row>
    <row r="614" spans="32:36">
      <c r="AF614" s="144"/>
      <c r="AG614" s="144"/>
      <c r="AH614" s="144"/>
      <c r="AI614" s="144"/>
      <c r="AJ614" s="144"/>
    </row>
    <row r="615" spans="32:36">
      <c r="AF615" s="144"/>
      <c r="AG615" s="144"/>
      <c r="AH615" s="144"/>
      <c r="AI615" s="144"/>
      <c r="AJ615" s="144"/>
    </row>
    <row r="616" spans="32:36">
      <c r="AF616" s="144"/>
      <c r="AG616" s="144"/>
      <c r="AH616" s="144"/>
      <c r="AI616" s="144"/>
      <c r="AJ616" s="144"/>
    </row>
    <row r="617" spans="32:36">
      <c r="AF617" s="144"/>
      <c r="AG617" s="144"/>
      <c r="AH617" s="144"/>
      <c r="AI617" s="144"/>
      <c r="AJ617" s="144"/>
    </row>
    <row r="618" spans="32:36">
      <c r="AF618" s="144"/>
      <c r="AG618" s="144"/>
      <c r="AH618" s="144"/>
      <c r="AI618" s="144"/>
      <c r="AJ618" s="144"/>
    </row>
    <row r="619" spans="32:36">
      <c r="AF619" s="144"/>
      <c r="AG619" s="144"/>
      <c r="AH619" s="144"/>
      <c r="AI619" s="144"/>
      <c r="AJ619" s="144"/>
    </row>
    <row r="620" spans="32:36">
      <c r="AF620" s="144"/>
      <c r="AG620" s="144"/>
      <c r="AH620" s="144"/>
      <c r="AI620" s="144"/>
      <c r="AJ620" s="144"/>
    </row>
    <row r="621" spans="32:36">
      <c r="AF621" s="144"/>
      <c r="AG621" s="144"/>
      <c r="AH621" s="144"/>
      <c r="AI621" s="144"/>
      <c r="AJ621" s="144"/>
    </row>
  </sheetData>
  <autoFilter ref="A3:AF207" xr:uid="{1FBC0EB5-1020-B845-938A-5B938DC002C2}"/>
  <pageMargins left="0.7" right="0.7" top="0.75" bottom="0.75" header="0.3" footer="0.3"/>
  <pageSetup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48850-E263-2B4F-A7A0-5C3415F7D696}">
  <sheetPr>
    <tabColor theme="8"/>
  </sheetPr>
  <dimension ref="A1:Q585"/>
  <sheetViews>
    <sheetView zoomScale="174" workbookViewId="0">
      <pane xSplit="7" ySplit="1" topLeftCell="H77" activePane="bottomRight" state="frozen"/>
      <selection activeCell="B43" sqref="B43"/>
      <selection pane="topRight" activeCell="B43" sqref="B43"/>
      <selection pane="bottomLeft" activeCell="B43" sqref="B43"/>
      <selection pane="bottomRight" activeCell="B43" sqref="B43"/>
    </sheetView>
  </sheetViews>
  <sheetFormatPr defaultColWidth="10.796875" defaultRowHeight="13.8"/>
  <cols>
    <col min="1" max="1" width="6.5" style="97" customWidth="1"/>
    <col min="2" max="2" width="18" style="97" customWidth="1"/>
    <col min="3" max="3" width="16.5" style="97" customWidth="1"/>
    <col min="4" max="4" width="8.69921875" style="97" customWidth="1"/>
    <col min="5" max="5" width="9.296875" style="97" customWidth="1"/>
    <col min="6" max="16" width="14.796875" style="97" customWidth="1"/>
    <col min="17" max="16384" width="10.796875" style="97"/>
  </cols>
  <sheetData>
    <row r="1" spans="1:17" ht="55.2">
      <c r="A1" s="93" t="s">
        <v>722</v>
      </c>
      <c r="B1" s="93" t="s">
        <v>723</v>
      </c>
      <c r="C1" s="93" t="s">
        <v>724</v>
      </c>
      <c r="D1" s="93" t="s">
        <v>725</v>
      </c>
      <c r="E1" s="93" t="s">
        <v>726</v>
      </c>
      <c r="F1" s="93" t="s">
        <v>297</v>
      </c>
      <c r="G1" s="93" t="s">
        <v>727</v>
      </c>
      <c r="H1" s="94" t="s">
        <v>728</v>
      </c>
      <c r="I1" s="95" t="s">
        <v>729</v>
      </c>
      <c r="J1" s="95" t="s">
        <v>730</v>
      </c>
      <c r="K1" s="94" t="s">
        <v>731</v>
      </c>
      <c r="L1" s="95" t="s">
        <v>732</v>
      </c>
      <c r="M1" s="94" t="s">
        <v>733</v>
      </c>
      <c r="N1" s="95" t="s">
        <v>734</v>
      </c>
      <c r="O1" s="94" t="s">
        <v>735</v>
      </c>
      <c r="P1" s="95" t="s">
        <v>736</v>
      </c>
      <c r="Q1" s="96" t="s">
        <v>212</v>
      </c>
    </row>
    <row r="2" spans="1:17">
      <c r="A2" s="98">
        <v>1</v>
      </c>
      <c r="B2" s="99" t="s">
        <v>686</v>
      </c>
      <c r="C2" s="99" t="s">
        <v>686</v>
      </c>
      <c r="D2" s="99" t="s">
        <v>687</v>
      </c>
      <c r="E2" s="99" t="s">
        <v>36</v>
      </c>
      <c r="F2" s="99" t="s">
        <v>116</v>
      </c>
      <c r="G2" s="99" t="s">
        <v>121</v>
      </c>
      <c r="H2" s="100">
        <v>12377.364934084771</v>
      </c>
      <c r="I2" s="100">
        <v>18885.813534334462</v>
      </c>
      <c r="J2" s="100">
        <f>IF(H2=0,I2,AVERAGE(H2:I2))</f>
        <v>15631.589234209616</v>
      </c>
      <c r="K2" s="100">
        <v>12750.086370715346</v>
      </c>
      <c r="L2" s="100">
        <v>19314.950182647975</v>
      </c>
      <c r="M2" s="100">
        <v>10661.764296875068</v>
      </c>
      <c r="N2" s="100">
        <v>14060.620764306019</v>
      </c>
      <c r="O2" s="100">
        <v>24124.490032705984</v>
      </c>
      <c r="P2" s="100">
        <v>36812.997880660812</v>
      </c>
      <c r="Q2" s="97" t="s">
        <v>737</v>
      </c>
    </row>
    <row r="3" spans="1:17">
      <c r="A3" s="98">
        <v>2</v>
      </c>
      <c r="B3" s="99" t="s">
        <v>317</v>
      </c>
      <c r="C3" s="99" t="s">
        <v>317</v>
      </c>
      <c r="D3" s="99" t="s">
        <v>318</v>
      </c>
      <c r="E3" s="99" t="s">
        <v>36</v>
      </c>
      <c r="F3" s="99" t="s">
        <v>118</v>
      </c>
      <c r="G3" s="99" t="s">
        <v>319</v>
      </c>
      <c r="H3" s="100">
        <v>4336.4168507478789</v>
      </c>
      <c r="I3" s="100">
        <v>7145.9235199709974</v>
      </c>
      <c r="J3" s="100">
        <f t="shared" ref="J3:J66" si="0">IF(H3=0,I3,AVERAGE(H3:I3))</f>
        <v>5741.1701853594386</v>
      </c>
      <c r="K3" s="100">
        <v>3979.4756916992242</v>
      </c>
      <c r="L3" s="100">
        <v>6718.4609186538382</v>
      </c>
      <c r="M3" s="100">
        <v>2603.8651013812892</v>
      </c>
      <c r="N3" s="100">
        <v>4462.6133940181535</v>
      </c>
      <c r="O3" s="100">
        <v>8233.7899985269396</v>
      </c>
      <c r="P3" s="100">
        <v>13610.044622966618</v>
      </c>
      <c r="Q3" s="97" t="s">
        <v>737</v>
      </c>
    </row>
    <row r="4" spans="1:17">
      <c r="A4" s="98">
        <v>3</v>
      </c>
      <c r="B4" s="99" t="s">
        <v>326</v>
      </c>
      <c r="C4" s="99" t="s">
        <v>326</v>
      </c>
      <c r="D4" s="99" t="s">
        <v>327</v>
      </c>
      <c r="E4" s="99" t="s">
        <v>36</v>
      </c>
      <c r="F4" s="99" t="s">
        <v>119</v>
      </c>
      <c r="G4" s="99" t="s">
        <v>325</v>
      </c>
      <c r="H4" s="100">
        <v>8053.4072243852243</v>
      </c>
      <c r="I4" s="100">
        <v>12572.778378215693</v>
      </c>
      <c r="J4" s="100">
        <f t="shared" si="0"/>
        <v>10313.09280130046</v>
      </c>
      <c r="K4" s="100">
        <v>8033.7582373583327</v>
      </c>
      <c r="L4" s="100">
        <v>12541.285397886419</v>
      </c>
      <c r="M4" s="100">
        <v>6328.6912575727038</v>
      </c>
      <c r="N4" s="100">
        <v>8899.3664524529395</v>
      </c>
      <c r="O4" s="100">
        <v>15579.388856428117</v>
      </c>
      <c r="P4" s="100">
        <v>24335.789025859955</v>
      </c>
      <c r="Q4" s="97" t="s">
        <v>737</v>
      </c>
    </row>
    <row r="5" spans="1:17">
      <c r="A5" s="98">
        <v>4</v>
      </c>
      <c r="B5" s="99" t="s">
        <v>320</v>
      </c>
      <c r="C5" s="99" t="s">
        <v>320</v>
      </c>
      <c r="D5" s="99" t="s">
        <v>321</v>
      </c>
      <c r="E5" s="99" t="s">
        <v>36</v>
      </c>
      <c r="F5" s="99" t="s">
        <v>115</v>
      </c>
      <c r="G5" s="99" t="s">
        <v>322</v>
      </c>
      <c r="H5" s="100">
        <v>6041.0065779163397</v>
      </c>
      <c r="I5" s="100">
        <v>9992.4516882812732</v>
      </c>
      <c r="J5" s="100">
        <f t="shared" si="0"/>
        <v>8016.7291330988064</v>
      </c>
      <c r="K5" s="100">
        <v>6512.7174379004036</v>
      </c>
      <c r="L5" s="100">
        <v>10550.028270470733</v>
      </c>
      <c r="M5" s="100">
        <v>4546.4965997950858</v>
      </c>
      <c r="N5" s="100">
        <v>7103.8613283863961</v>
      </c>
      <c r="O5" s="100">
        <v>11379.504500886789</v>
      </c>
      <c r="P5" s="100">
        <v>18822.881169732318</v>
      </c>
      <c r="Q5" s="97" t="s">
        <v>738</v>
      </c>
    </row>
    <row r="6" spans="1:17">
      <c r="A6" s="98">
        <v>5</v>
      </c>
      <c r="B6" s="99" t="s">
        <v>688</v>
      </c>
      <c r="C6" s="99" t="s">
        <v>688</v>
      </c>
      <c r="D6" s="99" t="s">
        <v>689</v>
      </c>
      <c r="E6" s="99" t="s">
        <v>36</v>
      </c>
      <c r="F6" s="99" t="s">
        <v>115</v>
      </c>
      <c r="G6" s="99" t="s">
        <v>121</v>
      </c>
      <c r="H6" s="100">
        <v>10174.826618747822</v>
      </c>
      <c r="I6" s="100">
        <v>15670.078610232498</v>
      </c>
      <c r="J6" s="100">
        <f t="shared" si="0"/>
        <v>12922.452614490161</v>
      </c>
      <c r="K6" s="100">
        <v>10347.68234208246</v>
      </c>
      <c r="L6" s="100">
        <v>15864.579659777477</v>
      </c>
      <c r="M6" s="100">
        <v>8454.5828133910072</v>
      </c>
      <c r="N6" s="100">
        <v>11431.580163017539</v>
      </c>
      <c r="O6" s="100">
        <v>19771.784938721466</v>
      </c>
      <c r="P6" s="100">
        <v>30457.355107024632</v>
      </c>
      <c r="Q6" s="97" t="s">
        <v>737</v>
      </c>
    </row>
    <row r="7" spans="1:17">
      <c r="A7" s="98">
        <v>6</v>
      </c>
      <c r="B7" s="99" t="s">
        <v>660</v>
      </c>
      <c r="C7" s="99" t="s">
        <v>660</v>
      </c>
      <c r="D7" s="99" t="s">
        <v>661</v>
      </c>
      <c r="E7" s="99" t="s">
        <v>36</v>
      </c>
      <c r="F7" s="99" t="s">
        <v>117</v>
      </c>
      <c r="G7" s="99" t="s">
        <v>121</v>
      </c>
      <c r="H7" s="100">
        <v>15662.135248057197</v>
      </c>
      <c r="I7" s="100">
        <v>27653.762139754515</v>
      </c>
      <c r="J7" s="100">
        <f t="shared" si="0"/>
        <v>21657.948693905855</v>
      </c>
      <c r="K7" s="100">
        <v>16643.996712705706</v>
      </c>
      <c r="L7" s="100">
        <v>28775.286376429562</v>
      </c>
      <c r="M7" s="100">
        <v>16530.130861251586</v>
      </c>
      <c r="N7" s="100">
        <v>24144.530893929325</v>
      </c>
      <c r="O7" s="100">
        <v>30858.948457894614</v>
      </c>
      <c r="P7" s="100">
        <v>54485.931006336927</v>
      </c>
      <c r="Q7" s="97" t="s">
        <v>738</v>
      </c>
    </row>
    <row r="8" spans="1:17">
      <c r="A8" s="98">
        <v>7</v>
      </c>
      <c r="B8" s="99" t="s">
        <v>330</v>
      </c>
      <c r="C8" s="99" t="s">
        <v>330</v>
      </c>
      <c r="D8" s="99" t="s">
        <v>331</v>
      </c>
      <c r="E8" s="99" t="s">
        <v>36</v>
      </c>
      <c r="F8" s="99" t="s">
        <v>116</v>
      </c>
      <c r="G8" s="99" t="s">
        <v>322</v>
      </c>
      <c r="H8" s="100">
        <v>6414.4502767223403</v>
      </c>
      <c r="I8" s="100">
        <v>9467.7961003615237</v>
      </c>
      <c r="J8" s="100">
        <f t="shared" si="0"/>
        <v>7941.123188541932</v>
      </c>
      <c r="K8" s="100">
        <v>6197.1359336996884</v>
      </c>
      <c r="L8" s="100">
        <v>9221.4600342774011</v>
      </c>
      <c r="M8" s="100">
        <v>3985.2827986116517</v>
      </c>
      <c r="N8" s="100">
        <v>5753.4136794718079</v>
      </c>
      <c r="O8" s="100">
        <v>12392.397212113725</v>
      </c>
      <c r="P8" s="100">
        <v>18291.308676093446</v>
      </c>
      <c r="Q8" s="97" t="s">
        <v>738</v>
      </c>
    </row>
    <row r="9" spans="1:17">
      <c r="A9" s="98">
        <v>8</v>
      </c>
      <c r="B9" s="99" t="s">
        <v>332</v>
      </c>
      <c r="C9" s="99" t="s">
        <v>332</v>
      </c>
      <c r="D9" s="99" t="s">
        <v>333</v>
      </c>
      <c r="E9" s="99" t="s">
        <v>36</v>
      </c>
      <c r="F9" s="99" t="s">
        <v>115</v>
      </c>
      <c r="G9" s="99" t="s">
        <v>322</v>
      </c>
      <c r="H9" s="100">
        <v>12744.211844280731</v>
      </c>
      <c r="I9" s="100">
        <v>21740.377499238915</v>
      </c>
      <c r="J9" s="100">
        <f t="shared" si="0"/>
        <v>17242.294671759824</v>
      </c>
      <c r="K9" s="100">
        <v>13090.861713856975</v>
      </c>
      <c r="L9" s="100">
        <v>22149.387628149932</v>
      </c>
      <c r="M9" s="100">
        <v>11591.320818403739</v>
      </c>
      <c r="N9" s="100">
        <v>17274.237723794868</v>
      </c>
      <c r="O9" s="100">
        <v>24393.950775374633</v>
      </c>
      <c r="P9" s="100">
        <v>41613.691378843199</v>
      </c>
      <c r="Q9" s="97" t="s">
        <v>738</v>
      </c>
    </row>
    <row r="10" spans="1:17">
      <c r="A10" s="98">
        <v>9</v>
      </c>
      <c r="B10" s="99" t="s">
        <v>739</v>
      </c>
      <c r="C10" s="99" t="s">
        <v>739</v>
      </c>
      <c r="D10" s="99" t="s">
        <v>740</v>
      </c>
      <c r="E10" s="99" t="s">
        <v>36</v>
      </c>
      <c r="F10" s="99" t="s">
        <v>114</v>
      </c>
      <c r="G10" s="99" t="s">
        <v>121</v>
      </c>
      <c r="H10" s="100">
        <v>8909.6044127128171</v>
      </c>
      <c r="I10" s="100">
        <v>13822.837540070383</v>
      </c>
      <c r="J10" s="100">
        <f t="shared" si="0"/>
        <v>11366.2209763916</v>
      </c>
      <c r="K10" s="100">
        <v>8967.6496299481059</v>
      </c>
      <c r="L10" s="100">
        <v>13882.55493213204</v>
      </c>
      <c r="M10" s="100">
        <v>7186.6933940752297</v>
      </c>
      <c r="N10" s="100">
        <v>9921.358739782534</v>
      </c>
      <c r="O10" s="100">
        <v>17271.42473936285</v>
      </c>
      <c r="P10" s="100">
        <v>26806.430937017532</v>
      </c>
      <c r="Q10" s="97" t="s">
        <v>737</v>
      </c>
    </row>
    <row r="11" spans="1:17">
      <c r="A11" s="98">
        <v>10</v>
      </c>
      <c r="B11" s="99" t="s">
        <v>328</v>
      </c>
      <c r="C11" s="99" t="s">
        <v>328</v>
      </c>
      <c r="D11" s="99" t="s">
        <v>329</v>
      </c>
      <c r="E11" s="99" t="s">
        <v>36</v>
      </c>
      <c r="F11" s="99" t="s">
        <v>116</v>
      </c>
      <c r="G11" s="99" t="s">
        <v>121</v>
      </c>
      <c r="H11" s="100">
        <v>13615.404413987566</v>
      </c>
      <c r="I11" s="100">
        <v>20693.367466639786</v>
      </c>
      <c r="J11" s="100">
        <f t="shared" si="0"/>
        <v>17154.385940313674</v>
      </c>
      <c r="K11" s="100">
        <v>14100.469704986663</v>
      </c>
      <c r="L11" s="100">
        <v>21254.392006593283</v>
      </c>
      <c r="M11" s="100">
        <v>11902.413686189164</v>
      </c>
      <c r="N11" s="100">
        <v>15538.395764176832</v>
      </c>
      <c r="O11" s="100">
        <v>26571.131125486449</v>
      </c>
      <c r="P11" s="100">
        <v>40385.483598221064</v>
      </c>
      <c r="Q11" s="97" t="s">
        <v>737</v>
      </c>
    </row>
    <row r="12" spans="1:17">
      <c r="A12" s="98">
        <v>11</v>
      </c>
      <c r="B12" s="99" t="s">
        <v>334</v>
      </c>
      <c r="C12" s="99" t="s">
        <v>334</v>
      </c>
      <c r="D12" s="99" t="s">
        <v>335</v>
      </c>
      <c r="E12" s="99" t="s">
        <v>36</v>
      </c>
      <c r="F12" s="99" t="s">
        <v>114</v>
      </c>
      <c r="G12" s="99" t="s">
        <v>121</v>
      </c>
      <c r="H12" s="100">
        <v>18345.298888513236</v>
      </c>
      <c r="I12" s="100">
        <v>29073.339910712344</v>
      </c>
      <c r="J12" s="100">
        <f t="shared" si="0"/>
        <v>23709.319399612788</v>
      </c>
      <c r="K12" s="100">
        <v>18816.406129695668</v>
      </c>
      <c r="L12" s="100">
        <v>29619.759062659195</v>
      </c>
      <c r="M12" s="100">
        <v>16618.971264693118</v>
      </c>
      <c r="N12" s="100">
        <v>22645.877060338487</v>
      </c>
      <c r="O12" s="100">
        <v>36011.821718151485</v>
      </c>
      <c r="P12" s="100">
        <v>57070.966244728326</v>
      </c>
      <c r="Q12" s="97" t="s">
        <v>738</v>
      </c>
    </row>
    <row r="13" spans="1:17">
      <c r="A13" s="98">
        <v>12</v>
      </c>
      <c r="B13" s="99" t="s">
        <v>336</v>
      </c>
      <c r="C13" s="99" t="s">
        <v>336</v>
      </c>
      <c r="D13" s="99" t="s">
        <v>337</v>
      </c>
      <c r="E13" s="99" t="s">
        <v>36</v>
      </c>
      <c r="F13" s="99" t="s">
        <v>115</v>
      </c>
      <c r="G13" s="99" t="s">
        <v>121</v>
      </c>
      <c r="H13" s="100">
        <v>14282.266211558554</v>
      </c>
      <c r="I13" s="100">
        <v>21220.16360862974</v>
      </c>
      <c r="J13" s="100">
        <f t="shared" si="0"/>
        <v>17751.214910094146</v>
      </c>
      <c r="K13" s="100">
        <v>15246.280245884829</v>
      </c>
      <c r="L13" s="100">
        <v>22328.396267526976</v>
      </c>
      <c r="M13" s="100">
        <v>11730.330761187277</v>
      </c>
      <c r="N13" s="100">
        <v>15244.249380605903</v>
      </c>
      <c r="O13" s="100">
        <v>27851.847339160333</v>
      </c>
      <c r="P13" s="100">
        <v>41381.441053188864</v>
      </c>
      <c r="Q13" s="97" t="s">
        <v>738</v>
      </c>
    </row>
    <row r="14" spans="1:17">
      <c r="A14" s="98">
        <v>13</v>
      </c>
      <c r="B14" s="99" t="s">
        <v>338</v>
      </c>
      <c r="C14" s="99" t="s">
        <v>338</v>
      </c>
      <c r="D14" s="99" t="s">
        <v>339</v>
      </c>
      <c r="E14" s="99" t="s">
        <v>36</v>
      </c>
      <c r="F14" s="99" t="s">
        <v>115</v>
      </c>
      <c r="G14" s="99" t="s">
        <v>322</v>
      </c>
      <c r="H14" s="100">
        <v>5261.6462737373304</v>
      </c>
      <c r="I14" s="100">
        <v>8935.442189438385</v>
      </c>
      <c r="J14" s="100">
        <f t="shared" si="0"/>
        <v>7098.5442315878572</v>
      </c>
      <c r="K14" s="100">
        <v>5273.1595577280405</v>
      </c>
      <c r="L14" s="100">
        <v>8948.6706199582677</v>
      </c>
      <c r="M14" s="100">
        <v>3588.8916419403718</v>
      </c>
      <c r="N14" s="100">
        <v>6133.420021724839</v>
      </c>
      <c r="O14" s="100">
        <v>10226.009533008501</v>
      </c>
      <c r="P14" s="100">
        <v>17366.031895173503</v>
      </c>
      <c r="Q14" s="97" t="s">
        <v>738</v>
      </c>
    </row>
    <row r="15" spans="1:17">
      <c r="A15" s="98">
        <v>14</v>
      </c>
      <c r="B15" s="99" t="s">
        <v>370</v>
      </c>
      <c r="C15" s="99" t="s">
        <v>370</v>
      </c>
      <c r="D15" s="99" t="s">
        <v>371</v>
      </c>
      <c r="E15" s="99" t="s">
        <v>36</v>
      </c>
      <c r="F15" s="99" t="s">
        <v>119</v>
      </c>
      <c r="G15" s="99" t="s">
        <v>319</v>
      </c>
      <c r="H15" s="100">
        <v>5994.7941807541838</v>
      </c>
      <c r="I15" s="100">
        <v>9567.176244750226</v>
      </c>
      <c r="J15" s="100">
        <f t="shared" si="0"/>
        <v>7780.9852127522045</v>
      </c>
      <c r="K15" s="100">
        <v>5788.3397422622211</v>
      </c>
      <c r="L15" s="100">
        <v>9316.3799720506722</v>
      </c>
      <c r="M15" s="100">
        <v>4265.7384544719398</v>
      </c>
      <c r="N15" s="100">
        <v>6442.1209932655074</v>
      </c>
      <c r="O15" s="100">
        <v>11511.112078148783</v>
      </c>
      <c r="P15" s="100">
        <v>18395.456899349276</v>
      </c>
      <c r="Q15" s="97" t="s">
        <v>737</v>
      </c>
    </row>
    <row r="16" spans="1:17">
      <c r="A16" s="98">
        <v>15</v>
      </c>
      <c r="B16" s="99" t="s">
        <v>348</v>
      </c>
      <c r="C16" s="99" t="s">
        <v>348</v>
      </c>
      <c r="D16" s="99" t="s">
        <v>349</v>
      </c>
      <c r="E16" s="99" t="s">
        <v>36</v>
      </c>
      <c r="F16" s="99" t="s">
        <v>115</v>
      </c>
      <c r="G16" s="99" t="s">
        <v>121</v>
      </c>
      <c r="H16" s="100">
        <v>15652.943919226849</v>
      </c>
      <c r="I16" s="100">
        <v>22217.532313317573</v>
      </c>
      <c r="J16" s="100">
        <f t="shared" si="0"/>
        <v>18935.238116272212</v>
      </c>
      <c r="K16" s="100">
        <v>16219.825229085835</v>
      </c>
      <c r="L16" s="100">
        <v>22884.177209131096</v>
      </c>
      <c r="M16" s="100">
        <v>13289.730808475628</v>
      </c>
      <c r="N16" s="100">
        <v>15955.257042789553</v>
      </c>
      <c r="O16" s="100">
        <v>30435.584156544686</v>
      </c>
      <c r="P16" s="100">
        <v>43199.769830014688</v>
      </c>
      <c r="Q16" s="97" t="s">
        <v>738</v>
      </c>
    </row>
    <row r="17" spans="1:17">
      <c r="A17" s="98">
        <v>16</v>
      </c>
      <c r="B17" s="99" t="s">
        <v>352</v>
      </c>
      <c r="C17" s="99" t="s">
        <v>352</v>
      </c>
      <c r="D17" s="99" t="s">
        <v>353</v>
      </c>
      <c r="E17" s="99" t="s">
        <v>36</v>
      </c>
      <c r="F17" s="99" t="s">
        <v>119</v>
      </c>
      <c r="G17" s="99" t="s">
        <v>325</v>
      </c>
      <c r="H17" s="100">
        <v>6190.2304931024437</v>
      </c>
      <c r="I17" s="100">
        <v>9852.5158325702232</v>
      </c>
      <c r="J17" s="100">
        <f t="shared" si="0"/>
        <v>8021.373162836333</v>
      </c>
      <c r="K17" s="100">
        <v>6001.5106010196941</v>
      </c>
      <c r="L17" s="100">
        <v>9622.539318532592</v>
      </c>
      <c r="M17" s="100">
        <v>4461.586765855116</v>
      </c>
      <c r="N17" s="100">
        <v>6675.4018386210028</v>
      </c>
      <c r="O17" s="100">
        <v>11897.337655422194</v>
      </c>
      <c r="P17" s="100">
        <v>18959.407763510426</v>
      </c>
      <c r="Q17" s="97" t="s">
        <v>737</v>
      </c>
    </row>
    <row r="18" spans="1:17">
      <c r="A18" s="98">
        <v>17</v>
      </c>
      <c r="B18" s="99" t="s">
        <v>368</v>
      </c>
      <c r="C18" s="99" t="s">
        <v>368</v>
      </c>
      <c r="D18" s="99" t="s">
        <v>369</v>
      </c>
      <c r="E18" s="99" t="s">
        <v>36</v>
      </c>
      <c r="F18" s="99" t="s">
        <v>119</v>
      </c>
      <c r="G18" s="99" t="s">
        <v>319</v>
      </c>
      <c r="H18" s="100">
        <v>6265.6450320272334</v>
      </c>
      <c r="I18" s="100">
        <v>9962.6220517977399</v>
      </c>
      <c r="J18" s="100">
        <f t="shared" si="0"/>
        <v>8114.1335419124862</v>
      </c>
      <c r="K18" s="100">
        <v>6083.7685081211603</v>
      </c>
      <c r="L18" s="100">
        <v>9740.6794209272048</v>
      </c>
      <c r="M18" s="100">
        <v>4537.1602860709581</v>
      </c>
      <c r="N18" s="100">
        <v>6765.4197435900669</v>
      </c>
      <c r="O18" s="100">
        <v>12046.373540724471</v>
      </c>
      <c r="P18" s="100">
        <v>19177.023895773316</v>
      </c>
      <c r="Q18" s="97" t="s">
        <v>737</v>
      </c>
    </row>
    <row r="19" spans="1:17">
      <c r="A19" s="98">
        <v>18</v>
      </c>
      <c r="B19" s="99" t="s">
        <v>342</v>
      </c>
      <c r="C19" s="99" t="s">
        <v>342</v>
      </c>
      <c r="D19" s="99" t="s">
        <v>343</v>
      </c>
      <c r="E19" s="99" t="s">
        <v>36</v>
      </c>
      <c r="F19" s="99" t="s">
        <v>118</v>
      </c>
      <c r="G19" s="99" t="s">
        <v>325</v>
      </c>
      <c r="H19" s="100">
        <v>3863.1169138109844</v>
      </c>
      <c r="I19" s="100">
        <v>6008.9494951415327</v>
      </c>
      <c r="J19" s="100">
        <f t="shared" si="0"/>
        <v>4936.0332044762581</v>
      </c>
      <c r="K19" s="100">
        <v>3921.8353942050221</v>
      </c>
      <c r="L19" s="100">
        <v>6080.0167873733944</v>
      </c>
      <c r="M19" s="100">
        <v>2248.2834534742624</v>
      </c>
      <c r="N19" s="100">
        <v>3562.1953191411321</v>
      </c>
      <c r="O19" s="100">
        <v>7561.2401042331021</v>
      </c>
      <c r="P19" s="100">
        <v>11761.256757345569</v>
      </c>
      <c r="Q19" s="97" t="s">
        <v>738</v>
      </c>
    </row>
    <row r="20" spans="1:17">
      <c r="A20" s="98">
        <v>19</v>
      </c>
      <c r="B20" s="99" t="s">
        <v>366</v>
      </c>
      <c r="C20" s="99" t="s">
        <v>366</v>
      </c>
      <c r="D20" s="99" t="s">
        <v>367</v>
      </c>
      <c r="E20" s="99" t="s">
        <v>36</v>
      </c>
      <c r="F20" s="99" t="s">
        <v>115</v>
      </c>
      <c r="G20" s="99" t="s">
        <v>322</v>
      </c>
      <c r="H20" s="100">
        <v>6800.4837966155192</v>
      </c>
      <c r="I20" s="100">
        <v>10085.198856277071</v>
      </c>
      <c r="J20" s="100">
        <f t="shared" si="0"/>
        <v>8442.8413264462943</v>
      </c>
      <c r="K20" s="100">
        <v>7253.3245766560522</v>
      </c>
      <c r="L20" s="100">
        <v>10610.852584058539</v>
      </c>
      <c r="M20" s="100">
        <v>5073.2544545490673</v>
      </c>
      <c r="N20" s="100">
        <v>6811.5852953615231</v>
      </c>
      <c r="O20" s="100">
        <v>13310.586935115556</v>
      </c>
      <c r="P20" s="100">
        <v>19739.75972139111</v>
      </c>
      <c r="Q20" s="97" t="s">
        <v>738</v>
      </c>
    </row>
    <row r="21" spans="1:17">
      <c r="A21" s="98">
        <v>20</v>
      </c>
      <c r="B21" s="99" t="s">
        <v>690</v>
      </c>
      <c r="C21" s="99" t="s">
        <v>690</v>
      </c>
      <c r="D21" s="99" t="s">
        <v>691</v>
      </c>
      <c r="E21" s="99" t="s">
        <v>36</v>
      </c>
      <c r="F21" s="99" t="s">
        <v>117</v>
      </c>
      <c r="G21" s="99" t="s">
        <v>121</v>
      </c>
      <c r="H21" s="100">
        <v>9804.2419733999031</v>
      </c>
      <c r="I21" s="100">
        <v>15893.746212720071</v>
      </c>
      <c r="J21" s="100">
        <f t="shared" si="0"/>
        <v>12848.994093059988</v>
      </c>
      <c r="K21" s="100">
        <v>9945.6812685303139</v>
      </c>
      <c r="L21" s="100">
        <v>16060.480656264528</v>
      </c>
      <c r="M21" s="100">
        <v>8522.8535049447728</v>
      </c>
      <c r="N21" s="100">
        <v>12104.528725127228</v>
      </c>
      <c r="O21" s="100">
        <v>19477.205146775985</v>
      </c>
      <c r="P21" s="100">
        <v>31574.675163651817</v>
      </c>
      <c r="Q21" s="97" t="s">
        <v>738</v>
      </c>
    </row>
    <row r="22" spans="1:17">
      <c r="A22" s="98">
        <v>21</v>
      </c>
      <c r="B22" s="99" t="s">
        <v>340</v>
      </c>
      <c r="C22" s="99" t="s">
        <v>340</v>
      </c>
      <c r="D22" s="99" t="s">
        <v>341</v>
      </c>
      <c r="E22" s="99" t="s">
        <v>36</v>
      </c>
      <c r="F22" s="99" t="s">
        <v>116</v>
      </c>
      <c r="G22" s="99" t="s">
        <v>121</v>
      </c>
      <c r="H22" s="100">
        <v>13834.604625840166</v>
      </c>
      <c r="I22" s="100">
        <v>21013.402660450753</v>
      </c>
      <c r="J22" s="100">
        <f t="shared" si="0"/>
        <v>17424.003643145457</v>
      </c>
      <c r="K22" s="100">
        <v>14339.56087918551</v>
      </c>
      <c r="L22" s="100">
        <v>21597.778518562984</v>
      </c>
      <c r="M22" s="100">
        <v>12122.075993722199</v>
      </c>
      <c r="N22" s="100">
        <v>15800.042180386103</v>
      </c>
      <c r="O22" s="100">
        <v>27004.319448290869</v>
      </c>
      <c r="P22" s="100">
        <v>41018.007551488758</v>
      </c>
      <c r="Q22" s="97" t="s">
        <v>737</v>
      </c>
    </row>
    <row r="23" spans="1:17">
      <c r="A23" s="98">
        <v>22</v>
      </c>
      <c r="B23" s="99" t="s">
        <v>741</v>
      </c>
      <c r="C23" s="99" t="s">
        <v>358</v>
      </c>
      <c r="D23" s="99" t="s">
        <v>359</v>
      </c>
      <c r="E23" s="99" t="s">
        <v>36</v>
      </c>
      <c r="F23" s="99" t="s">
        <v>115</v>
      </c>
      <c r="G23" s="99" t="s">
        <v>322</v>
      </c>
      <c r="H23" s="100">
        <v>5035.0558895134527</v>
      </c>
      <c r="I23" s="100">
        <v>7402.5567790591986</v>
      </c>
      <c r="J23" s="100">
        <f t="shared" si="0"/>
        <v>6218.8063342863261</v>
      </c>
      <c r="K23" s="100">
        <v>5723.8378417138192</v>
      </c>
      <c r="L23" s="100">
        <v>8228.4823250062291</v>
      </c>
      <c r="M23" s="100">
        <v>3903.5444014447889</v>
      </c>
      <c r="N23" s="100">
        <v>5111.9694708373381</v>
      </c>
      <c r="O23" s="100">
        <v>9432.6737034145008</v>
      </c>
      <c r="P23" s="100">
        <v>13867.949869889504</v>
      </c>
      <c r="Q23" s="97" t="s">
        <v>738</v>
      </c>
    </row>
    <row r="24" spans="1:17">
      <c r="A24" s="98">
        <v>23</v>
      </c>
      <c r="B24" s="99" t="s">
        <v>346</v>
      </c>
      <c r="C24" s="99" t="s">
        <v>346</v>
      </c>
      <c r="D24" s="99" t="s">
        <v>347</v>
      </c>
      <c r="E24" s="99" t="s">
        <v>36</v>
      </c>
      <c r="F24" s="99" t="s">
        <v>115</v>
      </c>
      <c r="G24" s="99" t="s">
        <v>322</v>
      </c>
      <c r="H24" s="100">
        <v>5714.095734177411</v>
      </c>
      <c r="I24" s="100">
        <v>8697.1056304482609</v>
      </c>
      <c r="J24" s="100">
        <f t="shared" si="0"/>
        <v>7205.6006823128355</v>
      </c>
      <c r="K24" s="100">
        <v>5952.6136496344816</v>
      </c>
      <c r="L24" s="100">
        <v>8977.3789759389001</v>
      </c>
      <c r="M24" s="100">
        <v>4179.8157452480809</v>
      </c>
      <c r="N24" s="100">
        <v>5880.9124030613129</v>
      </c>
      <c r="O24" s="100">
        <v>11224.198250644691</v>
      </c>
      <c r="P24" s="100">
        <v>17083.72458988952</v>
      </c>
      <c r="Q24" s="97" t="s">
        <v>738</v>
      </c>
    </row>
    <row r="25" spans="1:17">
      <c r="A25" s="98">
        <v>24</v>
      </c>
      <c r="B25" s="99" t="s">
        <v>350</v>
      </c>
      <c r="C25" s="99" t="s">
        <v>350</v>
      </c>
      <c r="D25" s="99" t="s">
        <v>351</v>
      </c>
      <c r="E25" s="99" t="s">
        <v>36</v>
      </c>
      <c r="F25" s="99" t="s">
        <v>116</v>
      </c>
      <c r="G25" s="99" t="s">
        <v>322</v>
      </c>
      <c r="H25" s="100">
        <v>11370.060929316267</v>
      </c>
      <c r="I25" s="100">
        <v>17415.136432026571</v>
      </c>
      <c r="J25" s="100">
        <f t="shared" si="0"/>
        <v>14392.598680671419</v>
      </c>
      <c r="K25" s="100">
        <v>11651.376222400089</v>
      </c>
      <c r="L25" s="100">
        <v>17736.965354224703</v>
      </c>
      <c r="M25" s="100">
        <v>9652.3367958491635</v>
      </c>
      <c r="N25" s="100">
        <v>12858.261146797278</v>
      </c>
      <c r="O25" s="100">
        <v>22133.833505999377</v>
      </c>
      <c r="P25" s="100">
        <v>33906.322262723908</v>
      </c>
      <c r="Q25" s="97" t="s">
        <v>737</v>
      </c>
    </row>
    <row r="26" spans="1:17">
      <c r="A26" s="98">
        <v>25</v>
      </c>
      <c r="B26" s="99" t="s">
        <v>692</v>
      </c>
      <c r="C26" s="99" t="s">
        <v>692</v>
      </c>
      <c r="D26" s="99" t="s">
        <v>693</v>
      </c>
      <c r="E26" s="99" t="s">
        <v>36</v>
      </c>
      <c r="F26" s="99" t="s">
        <v>120</v>
      </c>
      <c r="G26" s="99" t="s">
        <v>121</v>
      </c>
      <c r="H26" s="100">
        <v>11202.813956351112</v>
      </c>
      <c r="I26" s="100">
        <v>12961.489773540003</v>
      </c>
      <c r="J26" s="100">
        <f t="shared" si="0"/>
        <v>12082.151864945557</v>
      </c>
      <c r="K26" s="100">
        <v>12211.182097074074</v>
      </c>
      <c r="L26" s="100">
        <v>14128.888578648151</v>
      </c>
      <c r="M26" s="100">
        <v>10256.415193240742</v>
      </c>
      <c r="N26" s="100">
        <v>9138.1056896759274</v>
      </c>
      <c r="O26" s="100">
        <v>22405.627912702224</v>
      </c>
      <c r="P26" s="100">
        <v>25922.979547080005</v>
      </c>
      <c r="Q26" s="97" t="s">
        <v>738</v>
      </c>
    </row>
    <row r="27" spans="1:17">
      <c r="A27" s="98">
        <v>26</v>
      </c>
      <c r="B27" s="99" t="s">
        <v>356</v>
      </c>
      <c r="C27" s="99" t="s">
        <v>356</v>
      </c>
      <c r="D27" s="99" t="s">
        <v>357</v>
      </c>
      <c r="E27" s="99" t="s">
        <v>36</v>
      </c>
      <c r="F27" s="99" t="s">
        <v>116</v>
      </c>
      <c r="G27" s="99" t="s">
        <v>325</v>
      </c>
      <c r="H27" s="100">
        <v>5347.2695775898928</v>
      </c>
      <c r="I27" s="100">
        <v>8216.1547721927036</v>
      </c>
      <c r="J27" s="100">
        <f t="shared" si="0"/>
        <v>6781.7121748912978</v>
      </c>
      <c r="K27" s="100">
        <v>4978.2879649865563</v>
      </c>
      <c r="L27" s="100">
        <v>7774.5484707353198</v>
      </c>
      <c r="M27" s="100">
        <v>3918.2281084593246</v>
      </c>
      <c r="N27" s="100">
        <v>5487.8966992993082</v>
      </c>
      <c r="O27" s="100">
        <v>10504.604139783791</v>
      </c>
      <c r="P27" s="100">
        <v>16140.471726877122</v>
      </c>
      <c r="Q27" s="97" t="s">
        <v>738</v>
      </c>
    </row>
    <row r="28" spans="1:17">
      <c r="A28" s="98">
        <v>27</v>
      </c>
      <c r="B28" s="99" t="s">
        <v>362</v>
      </c>
      <c r="C28" s="99" t="s">
        <v>362</v>
      </c>
      <c r="D28" s="99" t="s">
        <v>363</v>
      </c>
      <c r="E28" s="99" t="s">
        <v>36</v>
      </c>
      <c r="F28" s="99" t="s">
        <v>116</v>
      </c>
      <c r="G28" s="99" t="s">
        <v>322</v>
      </c>
      <c r="H28" s="100">
        <v>5982.3582591553632</v>
      </c>
      <c r="I28" s="100">
        <v>8912.5113692624636</v>
      </c>
      <c r="J28" s="100">
        <f t="shared" si="0"/>
        <v>7447.4348142089129</v>
      </c>
      <c r="K28" s="100">
        <v>6351.8783628122055</v>
      </c>
      <c r="L28" s="100">
        <v>9340.9103053828949</v>
      </c>
      <c r="M28" s="100">
        <v>4170.7454700203898</v>
      </c>
      <c r="N28" s="100">
        <v>5799.1114584109273</v>
      </c>
      <c r="O28" s="100">
        <v>11412.544850990686</v>
      </c>
      <c r="P28" s="100">
        <v>17002.397939142003</v>
      </c>
      <c r="Q28" s="97" t="s">
        <v>738</v>
      </c>
    </row>
    <row r="29" spans="1:17">
      <c r="A29" s="98">
        <v>28</v>
      </c>
      <c r="B29" s="99" t="s">
        <v>344</v>
      </c>
      <c r="C29" s="99" t="s">
        <v>344</v>
      </c>
      <c r="D29" s="99" t="s">
        <v>345</v>
      </c>
      <c r="E29" s="99" t="s">
        <v>36</v>
      </c>
      <c r="F29" s="99" t="s">
        <v>116</v>
      </c>
      <c r="G29" s="99" t="s">
        <v>121</v>
      </c>
      <c r="H29" s="100">
        <v>19698.106996252223</v>
      </c>
      <c r="I29" s="100">
        <v>29574.193280433297</v>
      </c>
      <c r="J29" s="100">
        <f t="shared" si="0"/>
        <v>24636.15013834276</v>
      </c>
      <c r="K29" s="100">
        <v>20735.137118875769</v>
      </c>
      <c r="L29" s="100">
        <v>30783.20589513782</v>
      </c>
      <c r="M29" s="100">
        <v>17997.93920582642</v>
      </c>
      <c r="N29" s="100">
        <v>22798.960514847065</v>
      </c>
      <c r="O29" s="100">
        <v>38591.902946187212</v>
      </c>
      <c r="P29" s="100">
        <v>57937.725228684707</v>
      </c>
      <c r="Q29" s="97" t="s">
        <v>737</v>
      </c>
    </row>
    <row r="30" spans="1:17">
      <c r="A30" s="98">
        <v>29</v>
      </c>
      <c r="B30" s="99" t="s">
        <v>364</v>
      </c>
      <c r="C30" s="99" t="s">
        <v>364</v>
      </c>
      <c r="D30" s="99" t="s">
        <v>365</v>
      </c>
      <c r="E30" s="99" t="s">
        <v>36</v>
      </c>
      <c r="F30" s="99" t="s">
        <v>114</v>
      </c>
      <c r="G30" s="99" t="s">
        <v>121</v>
      </c>
      <c r="H30" s="100">
        <v>9865.4663124725303</v>
      </c>
      <c r="I30" s="100">
        <v>15218.408492126904</v>
      </c>
      <c r="J30" s="100">
        <f t="shared" si="0"/>
        <v>12541.937402299718</v>
      </c>
      <c r="K30" s="100">
        <v>10010.249644126799</v>
      </c>
      <c r="L30" s="100">
        <v>15379.953501728027</v>
      </c>
      <c r="M30" s="100">
        <v>8144.5703450579313</v>
      </c>
      <c r="N30" s="100">
        <v>11062.314938453055</v>
      </c>
      <c r="O30" s="100">
        <v>19160.420236629972</v>
      </c>
      <c r="P30" s="100">
        <v>29564.665258526973</v>
      </c>
      <c r="Q30" s="97" t="s">
        <v>737</v>
      </c>
    </row>
    <row r="31" spans="1:17">
      <c r="A31" s="98">
        <v>30</v>
      </c>
      <c r="B31" s="99" t="s">
        <v>354</v>
      </c>
      <c r="C31" s="99" t="s">
        <v>354</v>
      </c>
      <c r="D31" s="99" t="s">
        <v>355</v>
      </c>
      <c r="E31" s="99" t="s">
        <v>36</v>
      </c>
      <c r="F31" s="99" t="s">
        <v>118</v>
      </c>
      <c r="G31" s="99" t="s">
        <v>325</v>
      </c>
      <c r="H31" s="100">
        <v>5457.6765854192363</v>
      </c>
      <c r="I31" s="100">
        <v>8782.9774875068033</v>
      </c>
      <c r="J31" s="100">
        <f t="shared" si="0"/>
        <v>7120.3270364630198</v>
      </c>
      <c r="K31" s="100">
        <v>5202.4822950173684</v>
      </c>
      <c r="L31" s="100">
        <v>8474.9622744088192</v>
      </c>
      <c r="M31" s="100">
        <v>3727.4885622354832</v>
      </c>
      <c r="N31" s="100">
        <v>5800.9952721059262</v>
      </c>
      <c r="O31" s="100">
        <v>10449.648367391281</v>
      </c>
      <c r="P31" s="100">
        <v>16845.550802546073</v>
      </c>
      <c r="Q31" s="97" t="s">
        <v>737</v>
      </c>
    </row>
    <row r="32" spans="1:17">
      <c r="A32" s="98">
        <v>31</v>
      </c>
      <c r="B32" s="99" t="s">
        <v>360</v>
      </c>
      <c r="C32" s="99" t="s">
        <v>360</v>
      </c>
      <c r="D32" s="99" t="s">
        <v>361</v>
      </c>
      <c r="E32" s="99" t="s">
        <v>36</v>
      </c>
      <c r="F32" s="99" t="s">
        <v>119</v>
      </c>
      <c r="G32" s="99" t="s">
        <v>322</v>
      </c>
      <c r="H32" s="100">
        <v>7918.2388811858218</v>
      </c>
      <c r="I32" s="100">
        <v>12375.430818433142</v>
      </c>
      <c r="J32" s="100">
        <f t="shared" si="0"/>
        <v>10146.834849809482</v>
      </c>
      <c r="K32" s="100">
        <v>7886.3242653884972</v>
      </c>
      <c r="L32" s="100">
        <v>12329.538404087079</v>
      </c>
      <c r="M32" s="100">
        <v>6193.2379661654677</v>
      </c>
      <c r="N32" s="100">
        <v>8738.0239414938242</v>
      </c>
      <c r="O32" s="100">
        <v>15312.266177157278</v>
      </c>
      <c r="P32" s="100">
        <v>23945.74736451967</v>
      </c>
      <c r="Q32" s="97" t="s">
        <v>737</v>
      </c>
    </row>
    <row r="33" spans="1:17">
      <c r="A33" s="98">
        <v>32</v>
      </c>
      <c r="B33" s="99" t="s">
        <v>380</v>
      </c>
      <c r="C33" s="99" t="s">
        <v>380</v>
      </c>
      <c r="D33" s="99" t="s">
        <v>381</v>
      </c>
      <c r="E33" s="99" t="s">
        <v>36</v>
      </c>
      <c r="F33" s="99" t="s">
        <v>119</v>
      </c>
      <c r="G33" s="99" t="s">
        <v>319</v>
      </c>
      <c r="H33" s="100">
        <v>8201.91010176903</v>
      </c>
      <c r="I33" s="100">
        <v>12789.594533379684</v>
      </c>
      <c r="J33" s="100">
        <f t="shared" si="0"/>
        <v>10495.752317574357</v>
      </c>
      <c r="K33" s="100">
        <v>8195.7367638639444</v>
      </c>
      <c r="L33" s="100">
        <v>12773.921510102313</v>
      </c>
      <c r="M33" s="100">
        <v>6477.5071936784489</v>
      </c>
      <c r="N33" s="100">
        <v>9076.6256135452004</v>
      </c>
      <c r="O33" s="100">
        <v>15872.863538052878</v>
      </c>
      <c r="P33" s="100">
        <v>24764.308808211241</v>
      </c>
      <c r="Q33" s="97" t="s">
        <v>737</v>
      </c>
    </row>
    <row r="34" spans="1:17">
      <c r="A34" s="98">
        <v>33</v>
      </c>
      <c r="B34" s="99" t="s">
        <v>378</v>
      </c>
      <c r="C34" s="99" t="s">
        <v>378</v>
      </c>
      <c r="D34" s="99" t="s">
        <v>379</v>
      </c>
      <c r="E34" s="99" t="s">
        <v>36</v>
      </c>
      <c r="F34" s="99" t="s">
        <v>120</v>
      </c>
      <c r="G34" s="99" t="s">
        <v>121</v>
      </c>
      <c r="H34" s="100">
        <v>17602.612637348477</v>
      </c>
      <c r="I34" s="100">
        <v>25506.044763918442</v>
      </c>
      <c r="J34" s="100">
        <f t="shared" si="0"/>
        <v>21554.328700633458</v>
      </c>
      <c r="K34" s="100">
        <v>18821.203537749534</v>
      </c>
      <c r="L34" s="100">
        <v>26919.18777393784</v>
      </c>
      <c r="M34" s="100">
        <v>16056.517905046163</v>
      </c>
      <c r="N34" s="100">
        <v>19432.373280185122</v>
      </c>
      <c r="O34" s="100">
        <v>34275.807327444956</v>
      </c>
      <c r="P34" s="100">
        <v>49665.370364301998</v>
      </c>
      <c r="Q34" s="97" t="s">
        <v>738</v>
      </c>
    </row>
    <row r="35" spans="1:17">
      <c r="A35" s="98">
        <v>34</v>
      </c>
      <c r="B35" s="99" t="s">
        <v>630</v>
      </c>
      <c r="C35" s="99" t="s">
        <v>630</v>
      </c>
      <c r="D35" s="99" t="s">
        <v>631</v>
      </c>
      <c r="E35" s="99" t="s">
        <v>36</v>
      </c>
      <c r="F35" s="99" t="s">
        <v>115</v>
      </c>
      <c r="G35" s="99" t="s">
        <v>121</v>
      </c>
      <c r="H35" s="100">
        <v>24514.994252559871</v>
      </c>
      <c r="I35" s="100">
        <v>36197.722651079108</v>
      </c>
      <c r="J35" s="100">
        <f t="shared" si="0"/>
        <v>30356.358451819491</v>
      </c>
      <c r="K35" s="100">
        <v>26117.587235698462</v>
      </c>
      <c r="L35" s="100">
        <v>38015.100646818282</v>
      </c>
      <c r="M35" s="100">
        <v>21491.408836364441</v>
      </c>
      <c r="N35" s="100">
        <v>27107.74894049178</v>
      </c>
      <c r="O35" s="100">
        <v>47975.843752259665</v>
      </c>
      <c r="P35" s="100">
        <v>70838.943228161806</v>
      </c>
      <c r="Q35" s="97" t="s">
        <v>738</v>
      </c>
    </row>
    <row r="36" spans="1:17">
      <c r="A36" s="98">
        <v>35</v>
      </c>
      <c r="B36" s="99" t="s">
        <v>742</v>
      </c>
      <c r="C36" s="99" t="s">
        <v>742</v>
      </c>
      <c r="D36" s="99" t="s">
        <v>743</v>
      </c>
      <c r="E36" s="99" t="s">
        <v>36</v>
      </c>
      <c r="F36" s="99" t="s">
        <v>115</v>
      </c>
      <c r="G36" s="99" t="s">
        <v>121</v>
      </c>
      <c r="H36" s="100">
        <v>10174.826618747822</v>
      </c>
      <c r="I36" s="100">
        <v>15670.078610232498</v>
      </c>
      <c r="J36" s="100">
        <f t="shared" si="0"/>
        <v>12922.452614490161</v>
      </c>
      <c r="K36" s="100">
        <v>10347.68234208246</v>
      </c>
      <c r="L36" s="100">
        <v>15864.579659777477</v>
      </c>
      <c r="M36" s="100">
        <v>8454.5828133910072</v>
      </c>
      <c r="N36" s="100">
        <v>11431.580163017539</v>
      </c>
      <c r="O36" s="100">
        <v>19771.784938721466</v>
      </c>
      <c r="P36" s="100">
        <v>30457.355107024632</v>
      </c>
      <c r="Q36" s="97" t="s">
        <v>737</v>
      </c>
    </row>
    <row r="37" spans="1:17">
      <c r="A37" s="98">
        <v>36</v>
      </c>
      <c r="B37" s="99" t="s">
        <v>384</v>
      </c>
      <c r="C37" s="99" t="s">
        <v>384</v>
      </c>
      <c r="D37" s="99" t="s">
        <v>385</v>
      </c>
      <c r="E37" s="99" t="s">
        <v>36</v>
      </c>
      <c r="F37" s="99" t="s">
        <v>116</v>
      </c>
      <c r="G37" s="99" t="s">
        <v>121</v>
      </c>
      <c r="H37" s="100">
        <v>8338.8548721084426</v>
      </c>
      <c r="I37" s="100">
        <v>11833.499930488069</v>
      </c>
      <c r="J37" s="100">
        <f t="shared" si="0"/>
        <v>10086.177401298257</v>
      </c>
      <c r="K37" s="100">
        <v>8867.3912820701808</v>
      </c>
      <c r="L37" s="100">
        <v>12459.592959979595</v>
      </c>
      <c r="M37" s="100">
        <v>6594.679273000399</v>
      </c>
      <c r="N37" s="100">
        <v>8093.0132967235422</v>
      </c>
      <c r="O37" s="100">
        <v>15989.754217267939</v>
      </c>
      <c r="P37" s="100">
        <v>22690.736116710872</v>
      </c>
      <c r="Q37" s="97" t="s">
        <v>738</v>
      </c>
    </row>
    <row r="38" spans="1:17">
      <c r="A38" s="98">
        <v>37</v>
      </c>
      <c r="B38" s="99" t="s">
        <v>386</v>
      </c>
      <c r="C38" s="99" t="s">
        <v>386</v>
      </c>
      <c r="D38" s="99" t="s">
        <v>387</v>
      </c>
      <c r="E38" s="99" t="s">
        <v>36</v>
      </c>
      <c r="F38" s="99" t="s">
        <v>114</v>
      </c>
      <c r="G38" s="99" t="s">
        <v>322</v>
      </c>
      <c r="H38" s="100">
        <v>8109.7366145258984</v>
      </c>
      <c r="I38" s="100">
        <v>13655.662606518537</v>
      </c>
      <c r="J38" s="100">
        <f t="shared" si="0"/>
        <v>10882.699610522217</v>
      </c>
      <c r="K38" s="100">
        <v>8633.8809892929712</v>
      </c>
      <c r="L38" s="100">
        <v>14237.886442088864</v>
      </c>
      <c r="M38" s="100">
        <v>5239.2827702341501</v>
      </c>
      <c r="N38" s="100">
        <v>9164.1256052297958</v>
      </c>
      <c r="O38" s="100">
        <v>15815.60834564841</v>
      </c>
      <c r="P38" s="100">
        <v>26631.273215232453</v>
      </c>
      <c r="Q38" s="97" t="s">
        <v>738</v>
      </c>
    </row>
    <row r="39" spans="1:17">
      <c r="A39" s="98">
        <v>38</v>
      </c>
      <c r="B39" s="99" t="s">
        <v>744</v>
      </c>
      <c r="C39" s="99" t="s">
        <v>744</v>
      </c>
      <c r="D39" s="99" t="s">
        <v>399</v>
      </c>
      <c r="E39" s="99" t="s">
        <v>36</v>
      </c>
      <c r="F39" s="99" t="s">
        <v>119</v>
      </c>
      <c r="G39" s="99" t="s">
        <v>325</v>
      </c>
      <c r="H39" s="100">
        <v>7199.6474448109266</v>
      </c>
      <c r="I39" s="100">
        <v>11326.277865215239</v>
      </c>
      <c r="J39" s="100">
        <f t="shared" si="0"/>
        <v>9262.9626550130833</v>
      </c>
      <c r="K39" s="100">
        <v>7102.525432166366</v>
      </c>
      <c r="L39" s="100">
        <v>11203.8341687554</v>
      </c>
      <c r="M39" s="100">
        <v>5473.131668121684</v>
      </c>
      <c r="N39" s="100">
        <v>7880.2835567692155</v>
      </c>
      <c r="O39" s="100">
        <v>13892.169834758733</v>
      </c>
      <c r="P39" s="100">
        <v>21872.180499421003</v>
      </c>
      <c r="Q39" s="97" t="s">
        <v>737</v>
      </c>
    </row>
    <row r="40" spans="1:17">
      <c r="A40" s="98">
        <v>39</v>
      </c>
      <c r="B40" s="99" t="s">
        <v>376</v>
      </c>
      <c r="C40" s="99" t="s">
        <v>376</v>
      </c>
      <c r="D40" s="99" t="s">
        <v>377</v>
      </c>
      <c r="E40" s="99" t="s">
        <v>36</v>
      </c>
      <c r="F40" s="99" t="s">
        <v>119</v>
      </c>
      <c r="G40" s="99" t="s">
        <v>325</v>
      </c>
      <c r="H40" s="100">
        <v>10962.561752085945</v>
      </c>
      <c r="I40" s="100">
        <v>19236.813415537341</v>
      </c>
      <c r="J40" s="100">
        <f t="shared" si="0"/>
        <v>15099.687583811643</v>
      </c>
      <c r="K40" s="100">
        <v>9029.4540830095775</v>
      </c>
      <c r="L40" s="100">
        <v>16959.314227381943</v>
      </c>
      <c r="M40" s="100">
        <v>8496.763182273502</v>
      </c>
      <c r="N40" s="100">
        <v>14036.273495120866</v>
      </c>
      <c r="O40" s="100">
        <v>21510.848295560561</v>
      </c>
      <c r="P40" s="100">
        <v>37746.667652101532</v>
      </c>
      <c r="Q40" s="97" t="s">
        <v>738</v>
      </c>
    </row>
    <row r="41" spans="1:17">
      <c r="A41" s="98">
        <v>40</v>
      </c>
      <c r="B41" s="99" t="s">
        <v>392</v>
      </c>
      <c r="C41" s="99" t="s">
        <v>392</v>
      </c>
      <c r="D41" s="99" t="s">
        <v>393</v>
      </c>
      <c r="E41" s="99" t="s">
        <v>36</v>
      </c>
      <c r="F41" s="99" t="s">
        <v>119</v>
      </c>
      <c r="G41" s="99" t="s">
        <v>319</v>
      </c>
      <c r="H41" s="100">
        <v>9053.0141569779553</v>
      </c>
      <c r="I41" s="100">
        <v>14032.217653859407</v>
      </c>
      <c r="J41" s="100">
        <f t="shared" si="0"/>
        <v>11542.615905418681</v>
      </c>
      <c r="K41" s="100">
        <v>9124.0728553552326</v>
      </c>
      <c r="L41" s="100">
        <v>14107.212433370167</v>
      </c>
      <c r="M41" s="100">
        <v>7330.4054602350316</v>
      </c>
      <c r="N41" s="100">
        <v>10092.538527061633</v>
      </c>
      <c r="O41" s="100">
        <v>17554.834258299819</v>
      </c>
      <c r="P41" s="100">
        <v>27220.253978578698</v>
      </c>
      <c r="Q41" s="97" t="s">
        <v>737</v>
      </c>
    </row>
    <row r="42" spans="1:17">
      <c r="A42" s="98">
        <v>41</v>
      </c>
      <c r="B42" s="99" t="s">
        <v>394</v>
      </c>
      <c r="C42" s="99" t="s">
        <v>394</v>
      </c>
      <c r="D42" s="99" t="s">
        <v>395</v>
      </c>
      <c r="E42" s="99" t="s">
        <v>36</v>
      </c>
      <c r="F42" s="99" t="s">
        <v>119</v>
      </c>
      <c r="G42" s="99" t="s">
        <v>325</v>
      </c>
      <c r="H42" s="100">
        <v>11147.2003926016</v>
      </c>
      <c r="I42" s="100">
        <v>17089.757115749919</v>
      </c>
      <c r="J42" s="100">
        <f t="shared" si="0"/>
        <v>14118.47875417576</v>
      </c>
      <c r="K42" s="100">
        <v>11408.292573185709</v>
      </c>
      <c r="L42" s="100">
        <v>17387.844786724498</v>
      </c>
      <c r="M42" s="100">
        <v>9429.0064471279966</v>
      </c>
      <c r="N42" s="100">
        <v>12592.245615821977</v>
      </c>
      <c r="O42" s="100">
        <v>21693.411567978445</v>
      </c>
      <c r="P42" s="100">
        <v>33263.236079007482</v>
      </c>
      <c r="Q42" s="97" t="s">
        <v>737</v>
      </c>
    </row>
    <row r="43" spans="1:17">
      <c r="A43" s="98">
        <v>42</v>
      </c>
      <c r="B43" s="99" t="s">
        <v>388</v>
      </c>
      <c r="C43" s="99" t="s">
        <v>388</v>
      </c>
      <c r="D43" s="99" t="s">
        <v>389</v>
      </c>
      <c r="E43" s="99" t="s">
        <v>36</v>
      </c>
      <c r="F43" s="99" t="s">
        <v>116</v>
      </c>
      <c r="G43" s="99" t="s">
        <v>322</v>
      </c>
      <c r="H43" s="100">
        <v>5198.7374106492771</v>
      </c>
      <c r="I43" s="100">
        <v>7311.6702676608475</v>
      </c>
      <c r="J43" s="100">
        <f t="shared" si="0"/>
        <v>6255.2038391550623</v>
      </c>
      <c r="K43" s="100">
        <v>5431.6579765248453</v>
      </c>
      <c r="L43" s="100">
        <v>7582.9696732647153</v>
      </c>
      <c r="M43" s="100">
        <v>3951.7300798710953</v>
      </c>
      <c r="N43" s="100">
        <v>4870.0120295592515</v>
      </c>
      <c r="O43" s="100">
        <v>9849.0080244750552</v>
      </c>
      <c r="P43" s="100">
        <v>13851.959322083476</v>
      </c>
      <c r="Q43" s="97" t="s">
        <v>738</v>
      </c>
    </row>
    <row r="44" spans="1:17">
      <c r="A44" s="98">
        <v>43</v>
      </c>
      <c r="B44" s="99" t="s">
        <v>390</v>
      </c>
      <c r="C44" s="99" t="s">
        <v>390</v>
      </c>
      <c r="D44" s="99" t="s">
        <v>391</v>
      </c>
      <c r="E44" s="99" t="s">
        <v>36</v>
      </c>
      <c r="F44" s="99" t="s">
        <v>119</v>
      </c>
      <c r="G44" s="99" t="s">
        <v>325</v>
      </c>
      <c r="H44" s="100">
        <v>7322.092064796353</v>
      </c>
      <c r="I44" s="100">
        <v>11505.048621670976</v>
      </c>
      <c r="J44" s="100">
        <f t="shared" si="0"/>
        <v>9413.570343233665</v>
      </c>
      <c r="K44" s="100">
        <v>7236.0810876067617</v>
      </c>
      <c r="L44" s="100">
        <v>11395.648905661425</v>
      </c>
      <c r="M44" s="100">
        <v>5595.8344134506488</v>
      </c>
      <c r="N44" s="100">
        <v>8026.4385067691564</v>
      </c>
      <c r="O44" s="100">
        <v>14134.147609869551</v>
      </c>
      <c r="P44" s="100">
        <v>22225.506595390394</v>
      </c>
      <c r="Q44" s="97" t="s">
        <v>737</v>
      </c>
    </row>
    <row r="45" spans="1:17">
      <c r="A45" s="98">
        <v>44</v>
      </c>
      <c r="B45" s="99" t="s">
        <v>372</v>
      </c>
      <c r="C45" s="99" t="s">
        <v>372</v>
      </c>
      <c r="D45" s="99" t="s">
        <v>373</v>
      </c>
      <c r="E45" s="99" t="s">
        <v>36</v>
      </c>
      <c r="F45" s="99" t="s">
        <v>119</v>
      </c>
      <c r="G45" s="99" t="s">
        <v>325</v>
      </c>
      <c r="H45" s="100">
        <v>8064.1442342085829</v>
      </c>
      <c r="I45" s="100">
        <v>12588.454553848587</v>
      </c>
      <c r="J45" s="100">
        <f t="shared" si="0"/>
        <v>10326.299394028585</v>
      </c>
      <c r="K45" s="100">
        <v>8045.4695594613313</v>
      </c>
      <c r="L45" s="100">
        <v>12558.105383237104</v>
      </c>
      <c r="M45" s="100">
        <v>6339.4509020724545</v>
      </c>
      <c r="N45" s="100">
        <v>8912.1825903450626</v>
      </c>
      <c r="O45" s="100">
        <v>15600.607573499627</v>
      </c>
      <c r="P45" s="100">
        <v>24366.771732684672</v>
      </c>
      <c r="Q45" s="97" t="s">
        <v>737</v>
      </c>
    </row>
    <row r="46" spans="1:17">
      <c r="A46" s="98">
        <v>45</v>
      </c>
      <c r="B46" s="99" t="s">
        <v>396</v>
      </c>
      <c r="C46" s="99" t="s">
        <v>396</v>
      </c>
      <c r="D46" s="99" t="s">
        <v>397</v>
      </c>
      <c r="E46" s="99" t="s">
        <v>36</v>
      </c>
      <c r="F46" s="99" t="s">
        <v>116</v>
      </c>
      <c r="G46" s="99" t="s">
        <v>322</v>
      </c>
      <c r="H46" s="100">
        <v>10375.370906209289</v>
      </c>
      <c r="I46" s="100">
        <v>17696.050921386784</v>
      </c>
      <c r="J46" s="100">
        <f t="shared" si="0"/>
        <v>14035.710913798037</v>
      </c>
      <c r="K46" s="100">
        <v>10855.744367320553</v>
      </c>
      <c r="L46" s="100">
        <v>18279.848829780251</v>
      </c>
      <c r="M46" s="100">
        <v>8329.97721806357</v>
      </c>
      <c r="N46" s="100">
        <v>13056.778730091894</v>
      </c>
      <c r="O46" s="100">
        <v>19576.24982583569</v>
      </c>
      <c r="P46" s="100">
        <v>33388.908878472583</v>
      </c>
      <c r="Q46" s="97" t="s">
        <v>738</v>
      </c>
    </row>
    <row r="47" spans="1:17">
      <c r="A47" s="98">
        <v>46</v>
      </c>
      <c r="B47" s="99" t="s">
        <v>400</v>
      </c>
      <c r="C47" s="99" t="s">
        <v>400</v>
      </c>
      <c r="D47" s="99" t="s">
        <v>401</v>
      </c>
      <c r="E47" s="99" t="s">
        <v>36</v>
      </c>
      <c r="F47" s="99" t="s">
        <v>116</v>
      </c>
      <c r="G47" s="99" t="s">
        <v>322</v>
      </c>
      <c r="H47" s="100">
        <v>8851.1558148706608</v>
      </c>
      <c r="I47" s="100">
        <v>13737.501818082244</v>
      </c>
      <c r="J47" s="100">
        <f t="shared" si="0"/>
        <v>11294.328816476453</v>
      </c>
      <c r="K47" s="100">
        <v>8903.8972103210908</v>
      </c>
      <c r="L47" s="100">
        <v>13790.992702456668</v>
      </c>
      <c r="M47" s="100">
        <v>7128.1215808202678</v>
      </c>
      <c r="N47" s="100">
        <v>9851.5920820379652</v>
      </c>
      <c r="O47" s="100">
        <v>17155.917323309164</v>
      </c>
      <c r="P47" s="100">
        <v>26637.771710561425</v>
      </c>
      <c r="Q47" s="97" t="s">
        <v>737</v>
      </c>
    </row>
    <row r="48" spans="1:17">
      <c r="A48" s="98">
        <v>47</v>
      </c>
      <c r="B48" s="99" t="s">
        <v>745</v>
      </c>
      <c r="C48" s="99" t="s">
        <v>745</v>
      </c>
      <c r="D48" s="99" t="s">
        <v>746</v>
      </c>
      <c r="E48" s="99" t="s">
        <v>36</v>
      </c>
      <c r="F48" s="99" t="s">
        <v>116</v>
      </c>
      <c r="G48" s="99" t="s">
        <v>121</v>
      </c>
      <c r="H48" s="100">
        <v>13536.706039468712</v>
      </c>
      <c r="I48" s="100">
        <v>20578.466804232186</v>
      </c>
      <c r="J48" s="100">
        <f t="shared" si="0"/>
        <v>17057.58642185045</v>
      </c>
      <c r="K48" s="100">
        <v>14014.629976036462</v>
      </c>
      <c r="L48" s="100">
        <v>21131.10763521737</v>
      </c>
      <c r="M48" s="100">
        <v>11823.54940772973</v>
      </c>
      <c r="N48" s="100">
        <v>15444.458137564501</v>
      </c>
      <c r="O48" s="100">
        <v>26415.605651413542</v>
      </c>
      <c r="P48" s="100">
        <v>40158.391632635379</v>
      </c>
      <c r="Q48" s="97" t="s">
        <v>737</v>
      </c>
    </row>
    <row r="49" spans="1:17">
      <c r="A49" s="98">
        <v>48</v>
      </c>
      <c r="B49" s="99" t="s">
        <v>694</v>
      </c>
      <c r="C49" s="99" t="s">
        <v>694</v>
      </c>
      <c r="D49" s="99" t="s">
        <v>695</v>
      </c>
      <c r="E49" s="99" t="s">
        <v>36</v>
      </c>
      <c r="F49" s="99" t="s">
        <v>116</v>
      </c>
      <c r="G49" s="99" t="s">
        <v>121</v>
      </c>
      <c r="H49" s="100">
        <v>20906.060470727185</v>
      </c>
      <c r="I49" s="100">
        <v>31337.821248905289</v>
      </c>
      <c r="J49" s="100">
        <f t="shared" si="0"/>
        <v>26121.940859816237</v>
      </c>
      <c r="K49" s="100">
        <v>22052.704342688528</v>
      </c>
      <c r="L49" s="100">
        <v>32675.516704128117</v>
      </c>
      <c r="M49" s="100">
        <v>19208.439165443917</v>
      </c>
      <c r="N49" s="100">
        <v>24240.823617408496</v>
      </c>
      <c r="O49" s="100">
        <v>40979.087407420564</v>
      </c>
      <c r="P49" s="100">
        <v>61423.394793420972</v>
      </c>
      <c r="Q49" s="97" t="s">
        <v>737</v>
      </c>
    </row>
    <row r="50" spans="1:17">
      <c r="A50" s="98">
        <v>49</v>
      </c>
      <c r="B50" s="99" t="s">
        <v>402</v>
      </c>
      <c r="C50" s="99" t="s">
        <v>402</v>
      </c>
      <c r="D50" s="99" t="s">
        <v>403</v>
      </c>
      <c r="E50" s="99" t="s">
        <v>36</v>
      </c>
      <c r="F50" s="99" t="s">
        <v>115</v>
      </c>
      <c r="G50" s="99" t="s">
        <v>121</v>
      </c>
      <c r="H50" s="100">
        <v>15640.359606653386</v>
      </c>
      <c r="I50" s="100">
        <v>23191.701946249013</v>
      </c>
      <c r="J50" s="100">
        <f t="shared" si="0"/>
        <v>19416.0307764512</v>
      </c>
      <c r="K50" s="100">
        <v>16856.504476279202</v>
      </c>
      <c r="L50" s="100">
        <v>24620.637535313814</v>
      </c>
      <c r="M50" s="100">
        <v>15538.433077666219</v>
      </c>
      <c r="N50" s="100">
        <v>18862.990104199016</v>
      </c>
      <c r="O50" s="100">
        <v>30220.30283197567</v>
      </c>
      <c r="P50" s="100">
        <v>44811.006500542338</v>
      </c>
      <c r="Q50" s="97" t="s">
        <v>738</v>
      </c>
    </row>
    <row r="51" spans="1:17">
      <c r="A51" s="98">
        <v>50</v>
      </c>
      <c r="B51" s="99" t="s">
        <v>404</v>
      </c>
      <c r="C51" s="99" t="s">
        <v>747</v>
      </c>
      <c r="D51" s="99" t="s">
        <v>405</v>
      </c>
      <c r="E51" s="99" t="s">
        <v>36</v>
      </c>
      <c r="F51" s="99" t="s">
        <v>115</v>
      </c>
      <c r="G51" s="99" t="s">
        <v>121</v>
      </c>
      <c r="H51" s="100">
        <v>11345.674915532458</v>
      </c>
      <c r="I51" s="100">
        <v>17137.103575373636</v>
      </c>
      <c r="J51" s="100">
        <f t="shared" si="0"/>
        <v>14241.389245453047</v>
      </c>
      <c r="K51" s="100">
        <v>11814.970876834521</v>
      </c>
      <c r="L51" s="100">
        <v>17679.785349705609</v>
      </c>
      <c r="M51" s="100">
        <v>9931.4345862358277</v>
      </c>
      <c r="N51" s="100">
        <v>12875.171574865168</v>
      </c>
      <c r="O51" s="100">
        <v>22439.475847940095</v>
      </c>
      <c r="P51" s="100">
        <v>33893.763451373983</v>
      </c>
      <c r="Q51" s="97" t="s">
        <v>738</v>
      </c>
    </row>
    <row r="52" spans="1:17">
      <c r="A52" s="98">
        <v>51</v>
      </c>
      <c r="B52" s="99" t="s">
        <v>436</v>
      </c>
      <c r="C52" s="99" t="s">
        <v>436</v>
      </c>
      <c r="D52" s="99" t="s">
        <v>437</v>
      </c>
      <c r="E52" s="99" t="s">
        <v>36</v>
      </c>
      <c r="F52" s="99" t="s">
        <v>115</v>
      </c>
      <c r="G52" s="99" t="s">
        <v>121</v>
      </c>
      <c r="H52" s="100">
        <v>13224.031719187671</v>
      </c>
      <c r="I52" s="100">
        <v>20142.957343922586</v>
      </c>
      <c r="J52" s="100">
        <f t="shared" si="0"/>
        <v>16683.49453155513</v>
      </c>
      <c r="K52" s="100">
        <v>13907.545376516573</v>
      </c>
      <c r="L52" s="100">
        <v>20930.231238764391</v>
      </c>
      <c r="M52" s="100">
        <v>11714.021565419191</v>
      </c>
      <c r="N52" s="100">
        <v>15302.015794419762</v>
      </c>
      <c r="O52" s="100">
        <v>26032.828842392846</v>
      </c>
      <c r="P52" s="100">
        <v>39653.425827246007</v>
      </c>
      <c r="Q52" s="97" t="s">
        <v>738</v>
      </c>
    </row>
    <row r="53" spans="1:17">
      <c r="A53" s="98">
        <v>52</v>
      </c>
      <c r="B53" s="99" t="s">
        <v>408</v>
      </c>
      <c r="C53" s="99" t="s">
        <v>408</v>
      </c>
      <c r="D53" s="99" t="s">
        <v>409</v>
      </c>
      <c r="E53" s="99" t="s">
        <v>36</v>
      </c>
      <c r="F53" s="99" t="s">
        <v>117</v>
      </c>
      <c r="G53" s="99" t="s">
        <v>325</v>
      </c>
      <c r="H53" s="100">
        <v>9797.5704193498714</v>
      </c>
      <c r="I53" s="100">
        <v>15119.279594710097</v>
      </c>
      <c r="J53" s="100">
        <f t="shared" si="0"/>
        <v>12458.425007029984</v>
      </c>
      <c r="K53" s="100">
        <v>9936.1926499625242</v>
      </c>
      <c r="L53" s="100">
        <v>15273.591679723335</v>
      </c>
      <c r="M53" s="100">
        <v>8076.5313206916217</v>
      </c>
      <c r="N53" s="100">
        <v>10981.271599303287</v>
      </c>
      <c r="O53" s="100">
        <v>19026.24286600366</v>
      </c>
      <c r="P53" s="100">
        <v>29368.744924483399</v>
      </c>
      <c r="Q53" s="97" t="s">
        <v>737</v>
      </c>
    </row>
    <row r="54" spans="1:17">
      <c r="A54" s="98">
        <v>53</v>
      </c>
      <c r="B54" s="99" t="s">
        <v>410</v>
      </c>
      <c r="C54" s="99" t="s">
        <v>410</v>
      </c>
      <c r="D54" s="99" t="s">
        <v>411</v>
      </c>
      <c r="E54" s="99" t="s">
        <v>36</v>
      </c>
      <c r="F54" s="99" t="s">
        <v>116</v>
      </c>
      <c r="G54" s="99" t="s">
        <v>322</v>
      </c>
      <c r="H54" s="100">
        <v>11243.810838935246</v>
      </c>
      <c r="I54" s="100">
        <v>17230.8096387162</v>
      </c>
      <c r="J54" s="100">
        <f t="shared" si="0"/>
        <v>14237.310238825723</v>
      </c>
      <c r="K54" s="100">
        <v>11513.669775418153</v>
      </c>
      <c r="L54" s="100">
        <v>17539.189185098781</v>
      </c>
      <c r="M54" s="100">
        <v>9525.8205578174311</v>
      </c>
      <c r="N54" s="100">
        <v>12707.563830334355</v>
      </c>
      <c r="O54" s="100">
        <v>21884.335275847858</v>
      </c>
      <c r="P54" s="100">
        <v>33542.015104472135</v>
      </c>
      <c r="Q54" s="97" t="s">
        <v>737</v>
      </c>
    </row>
    <row r="55" spans="1:17">
      <c r="A55" s="98">
        <v>54</v>
      </c>
      <c r="B55" s="99" t="s">
        <v>406</v>
      </c>
      <c r="C55" s="99" t="s">
        <v>406</v>
      </c>
      <c r="D55" s="99" t="s">
        <v>407</v>
      </c>
      <c r="E55" s="99" t="s">
        <v>36</v>
      </c>
      <c r="F55" s="99" t="s">
        <v>115</v>
      </c>
      <c r="G55" s="99" t="s">
        <v>121</v>
      </c>
      <c r="H55" s="100">
        <v>24604.941574795026</v>
      </c>
      <c r="I55" s="100">
        <v>38134.530852607859</v>
      </c>
      <c r="J55" s="100">
        <f t="shared" si="0"/>
        <v>31369.736213701442</v>
      </c>
      <c r="K55" s="100">
        <v>25261.906894604814</v>
      </c>
      <c r="L55" s="100">
        <v>38916.169198829142</v>
      </c>
      <c r="M55" s="100">
        <v>21734.778065973063</v>
      </c>
      <c r="N55" s="100">
        <v>28942.201240093069</v>
      </c>
      <c r="O55" s="100">
        <v>48119.884237826634</v>
      </c>
      <c r="P55" s="100">
        <v>74579.701988445187</v>
      </c>
      <c r="Q55" s="97" t="s">
        <v>738</v>
      </c>
    </row>
    <row r="56" spans="1:17">
      <c r="A56" s="98">
        <v>55</v>
      </c>
      <c r="B56" s="99" t="s">
        <v>412</v>
      </c>
      <c r="C56" s="99" t="s">
        <v>412</v>
      </c>
      <c r="D56" s="99" t="s">
        <v>413</v>
      </c>
      <c r="E56" s="99" t="s">
        <v>36</v>
      </c>
      <c r="F56" s="99" t="s">
        <v>116</v>
      </c>
      <c r="G56" s="99" t="s">
        <v>322</v>
      </c>
      <c r="H56" s="100">
        <v>8349.2569130020038</v>
      </c>
      <c r="I56" s="100">
        <v>12574.154127130103</v>
      </c>
      <c r="J56" s="100">
        <f t="shared" si="0"/>
        <v>10461.705520066054</v>
      </c>
      <c r="K56" s="100">
        <v>8084.5117743295496</v>
      </c>
      <c r="L56" s="100">
        <v>12254.201483357285</v>
      </c>
      <c r="M56" s="100">
        <v>5870.7204764229245</v>
      </c>
      <c r="N56" s="100">
        <v>8096.8789445238863</v>
      </c>
      <c r="O56" s="100">
        <v>16238.970725512379</v>
      </c>
      <c r="P56" s="100">
        <v>24456.226811102966</v>
      </c>
      <c r="Q56" s="97" t="s">
        <v>738</v>
      </c>
    </row>
    <row r="57" spans="1:17">
      <c r="A57" s="98">
        <v>56</v>
      </c>
      <c r="B57" s="99" t="s">
        <v>323</v>
      </c>
      <c r="C57" s="99" t="s">
        <v>323</v>
      </c>
      <c r="D57" s="99" t="s">
        <v>324</v>
      </c>
      <c r="E57" s="99" t="s">
        <v>36</v>
      </c>
      <c r="F57" s="99" t="s">
        <v>117</v>
      </c>
      <c r="G57" s="99" t="s">
        <v>325</v>
      </c>
      <c r="H57" s="100">
        <v>4598.7511570827828</v>
      </c>
      <c r="I57" s="100">
        <v>6567.9148622646217</v>
      </c>
      <c r="J57" s="100">
        <f t="shared" si="0"/>
        <v>5583.3330096737027</v>
      </c>
      <c r="K57" s="100">
        <v>4024.6469134501162</v>
      </c>
      <c r="L57" s="100">
        <v>5886.7297850801206</v>
      </c>
      <c r="M57" s="100">
        <v>2311.8394084927063</v>
      </c>
      <c r="N57" s="100">
        <v>3346.0385239547722</v>
      </c>
      <c r="O57" s="100">
        <v>8623.0723071343564</v>
      </c>
      <c r="P57" s="100">
        <v>12315.431479083769</v>
      </c>
      <c r="Q57" s="97" t="s">
        <v>738</v>
      </c>
    </row>
    <row r="58" spans="1:17">
      <c r="A58" s="98">
        <v>57</v>
      </c>
      <c r="B58" s="99" t="s">
        <v>414</v>
      </c>
      <c r="C58" s="99" t="s">
        <v>414</v>
      </c>
      <c r="D58" s="99" t="s">
        <v>415</v>
      </c>
      <c r="E58" s="99" t="s">
        <v>36</v>
      </c>
      <c r="F58" s="99" t="s">
        <v>116</v>
      </c>
      <c r="G58" s="99" t="s">
        <v>322</v>
      </c>
      <c r="H58" s="100">
        <v>6853.6014460910728</v>
      </c>
      <c r="I58" s="100">
        <v>9289.9369011144845</v>
      </c>
      <c r="J58" s="100">
        <f t="shared" si="0"/>
        <v>8071.7691736027791</v>
      </c>
      <c r="K58" s="100">
        <v>6533.7597006067017</v>
      </c>
      <c r="L58" s="100">
        <v>8913.4711652598289</v>
      </c>
      <c r="M58" s="100">
        <v>4541.1888123186509</v>
      </c>
      <c r="N58" s="100">
        <v>5453.5925464916918</v>
      </c>
      <c r="O58" s="100">
        <v>13449.50747780912</v>
      </c>
      <c r="P58" s="100">
        <v>18230.572174747067</v>
      </c>
      <c r="Q58" s="97" t="s">
        <v>738</v>
      </c>
    </row>
    <row r="59" spans="1:17">
      <c r="A59" s="98">
        <v>58</v>
      </c>
      <c r="B59" s="99" t="s">
        <v>416</v>
      </c>
      <c r="C59" s="99" t="s">
        <v>416</v>
      </c>
      <c r="D59" s="99" t="s">
        <v>417</v>
      </c>
      <c r="E59" s="99" t="s">
        <v>36</v>
      </c>
      <c r="F59" s="99" t="s">
        <v>117</v>
      </c>
      <c r="G59" s="99" t="s">
        <v>325</v>
      </c>
      <c r="H59" s="100">
        <v>5565.3248754607012</v>
      </c>
      <c r="I59" s="100">
        <v>8940.1454075360343</v>
      </c>
      <c r="J59" s="100">
        <f t="shared" si="0"/>
        <v>7252.7351414983677</v>
      </c>
      <c r="K59" s="100">
        <v>5319.8989519128427</v>
      </c>
      <c r="L59" s="100">
        <v>8643.5979272871937</v>
      </c>
      <c r="M59" s="100">
        <v>3835.3637854966473</v>
      </c>
      <c r="N59" s="100">
        <v>5929.488712246146</v>
      </c>
      <c r="O59" s="100">
        <v>10662.385306930297</v>
      </c>
      <c r="P59" s="100">
        <v>17156.180620848078</v>
      </c>
      <c r="Q59" s="97" t="s">
        <v>737</v>
      </c>
    </row>
    <row r="60" spans="1:17">
      <c r="A60" s="98">
        <v>59</v>
      </c>
      <c r="B60" s="99" t="s">
        <v>696</v>
      </c>
      <c r="C60" s="99" t="s">
        <v>696</v>
      </c>
      <c r="D60" s="99" t="s">
        <v>697</v>
      </c>
      <c r="E60" s="99" t="s">
        <v>36</v>
      </c>
      <c r="F60" s="99" t="s">
        <v>119</v>
      </c>
      <c r="G60" s="99" t="s">
        <v>319</v>
      </c>
      <c r="H60" s="100">
        <v>6254.3433443450003</v>
      </c>
      <c r="I60" s="100">
        <v>9946.1214390601617</v>
      </c>
      <c r="J60" s="100">
        <f t="shared" si="0"/>
        <v>8100.2323917025806</v>
      </c>
      <c r="K60" s="100">
        <v>6071.4412673966353</v>
      </c>
      <c r="L60" s="100">
        <v>9722.9748435466736</v>
      </c>
      <c r="M60" s="100">
        <v>4525.8347733156761</v>
      </c>
      <c r="N60" s="100">
        <v>6751.9295829091943</v>
      </c>
      <c r="O60" s="100">
        <v>12024.038894737823</v>
      </c>
      <c r="P60" s="100">
        <v>19144.411754977715</v>
      </c>
      <c r="Q60" s="97" t="s">
        <v>737</v>
      </c>
    </row>
    <row r="61" spans="1:17">
      <c r="A61" s="98">
        <v>60</v>
      </c>
      <c r="B61" s="99" t="s">
        <v>612</v>
      </c>
      <c r="C61" s="99" t="s">
        <v>612</v>
      </c>
      <c r="D61" s="99" t="s">
        <v>613</v>
      </c>
      <c r="E61" s="99" t="s">
        <v>36</v>
      </c>
      <c r="F61" s="99" t="s">
        <v>115</v>
      </c>
      <c r="G61" s="99" t="s">
        <v>121</v>
      </c>
      <c r="H61" s="100">
        <v>11712.056608626923</v>
      </c>
      <c r="I61" s="100">
        <v>18252.265417946295</v>
      </c>
      <c r="J61" s="100">
        <f t="shared" si="0"/>
        <v>14982.161013286608</v>
      </c>
      <c r="K61" s="100">
        <v>12709.281797626685</v>
      </c>
      <c r="L61" s="100">
        <v>19408.572430644639</v>
      </c>
      <c r="M61" s="100">
        <v>10587.707903704299</v>
      </c>
      <c r="N61" s="100">
        <v>14150.385331642876</v>
      </c>
      <c r="O61" s="100">
        <v>21910.915503419248</v>
      </c>
      <c r="P61" s="100">
        <v>34146.338143893932</v>
      </c>
      <c r="Q61" s="97" t="s">
        <v>738</v>
      </c>
    </row>
    <row r="62" spans="1:17">
      <c r="A62" s="98">
        <v>61</v>
      </c>
      <c r="B62" s="99" t="s">
        <v>422</v>
      </c>
      <c r="C62" s="99" t="s">
        <v>422</v>
      </c>
      <c r="D62" s="99" t="s">
        <v>423</v>
      </c>
      <c r="E62" s="99" t="s">
        <v>36</v>
      </c>
      <c r="F62" s="99" t="s">
        <v>115</v>
      </c>
      <c r="G62" s="99" t="s">
        <v>121</v>
      </c>
      <c r="H62" s="100">
        <v>10324.415206523523</v>
      </c>
      <c r="I62" s="100">
        <v>15608.799607562942</v>
      </c>
      <c r="J62" s="100">
        <f t="shared" si="0"/>
        <v>12966.607407043233</v>
      </c>
      <c r="K62" s="100">
        <v>10839.459292676029</v>
      </c>
      <c r="L62" s="100">
        <v>16213.584775176159</v>
      </c>
      <c r="M62" s="100">
        <v>8756.5374578897299</v>
      </c>
      <c r="N62" s="100">
        <v>11486.736292785323</v>
      </c>
      <c r="O62" s="100">
        <v>20073.760486043691</v>
      </c>
      <c r="P62" s="100">
        <v>30348.189076984629</v>
      </c>
      <c r="Q62" s="97" t="s">
        <v>738</v>
      </c>
    </row>
    <row r="63" spans="1:17">
      <c r="A63" s="98">
        <v>62</v>
      </c>
      <c r="B63" s="99" t="s">
        <v>424</v>
      </c>
      <c r="C63" s="99" t="s">
        <v>424</v>
      </c>
      <c r="D63" s="99" t="s">
        <v>425</v>
      </c>
      <c r="E63" s="99" t="s">
        <v>36</v>
      </c>
      <c r="F63" s="99" t="s">
        <v>119</v>
      </c>
      <c r="G63" s="99" t="s">
        <v>319</v>
      </c>
      <c r="H63" s="100">
        <v>4878.6826530315866</v>
      </c>
      <c r="I63" s="100">
        <v>5866.853659804302</v>
      </c>
      <c r="J63" s="100">
        <f t="shared" si="0"/>
        <v>5372.7681564179438</v>
      </c>
      <c r="K63" s="100">
        <v>4009.0665566822013</v>
      </c>
      <c r="L63" s="100">
        <v>4815.729644791294</v>
      </c>
      <c r="M63" s="100">
        <v>3293.9152208450028</v>
      </c>
      <c r="N63" s="100">
        <v>3082.6475946815017</v>
      </c>
      <c r="O63" s="100">
        <v>9590.758293462146</v>
      </c>
      <c r="P63" s="100">
        <v>11533.354267126288</v>
      </c>
      <c r="Q63" s="97" t="s">
        <v>738</v>
      </c>
    </row>
    <row r="64" spans="1:17">
      <c r="A64" s="98">
        <v>63</v>
      </c>
      <c r="B64" s="99" t="s">
        <v>428</v>
      </c>
      <c r="C64" s="99" t="s">
        <v>428</v>
      </c>
      <c r="D64" s="99" t="s">
        <v>429</v>
      </c>
      <c r="E64" s="99" t="s">
        <v>36</v>
      </c>
      <c r="F64" s="99" t="s">
        <v>115</v>
      </c>
      <c r="G64" s="99" t="s">
        <v>121</v>
      </c>
      <c r="H64" s="100">
        <v>11083.319222636786</v>
      </c>
      <c r="I64" s="100">
        <v>16781.853497633318</v>
      </c>
      <c r="J64" s="100">
        <f t="shared" si="0"/>
        <v>13932.586360135052</v>
      </c>
      <c r="K64" s="100">
        <v>12027.767051976116</v>
      </c>
      <c r="L64" s="100">
        <v>17890.124848679385</v>
      </c>
      <c r="M64" s="100">
        <v>9598.2593305269838</v>
      </c>
      <c r="N64" s="100">
        <v>12543.505547981322</v>
      </c>
      <c r="O64" s="100">
        <v>21421.839393512382</v>
      </c>
      <c r="P64" s="100">
        <v>32435.966440225675</v>
      </c>
      <c r="Q64" s="97" t="s">
        <v>738</v>
      </c>
    </row>
    <row r="65" spans="1:17">
      <c r="A65" s="98">
        <v>64</v>
      </c>
      <c r="B65" s="99" t="s">
        <v>426</v>
      </c>
      <c r="C65" s="99" t="s">
        <v>426</v>
      </c>
      <c r="D65" s="99" t="s">
        <v>427</v>
      </c>
      <c r="E65" s="99" t="s">
        <v>36</v>
      </c>
      <c r="F65" s="99" t="s">
        <v>114</v>
      </c>
      <c r="G65" s="99" t="s">
        <v>322</v>
      </c>
      <c r="H65" s="100">
        <v>6958.5558859671901</v>
      </c>
      <c r="I65" s="100">
        <v>10974.281016723919</v>
      </c>
      <c r="J65" s="100">
        <f t="shared" si="0"/>
        <v>8966.4184513455548</v>
      </c>
      <c r="K65" s="100">
        <v>6839.5564167342918</v>
      </c>
      <c r="L65" s="100">
        <v>10826.15392494086</v>
      </c>
      <c r="M65" s="100">
        <v>5231.5318644774979</v>
      </c>
      <c r="N65" s="100">
        <v>7592.5067256401062</v>
      </c>
      <c r="O65" s="100">
        <v>13415.719346252583</v>
      </c>
      <c r="P65" s="100">
        <v>21176.486893057809</v>
      </c>
      <c r="Q65" s="97" t="s">
        <v>737</v>
      </c>
    </row>
    <row r="66" spans="1:17">
      <c r="A66" s="98">
        <v>65</v>
      </c>
      <c r="B66" s="99" t="s">
        <v>55</v>
      </c>
      <c r="C66" s="99" t="s">
        <v>55</v>
      </c>
      <c r="D66" s="99" t="s">
        <v>56</v>
      </c>
      <c r="E66" s="99" t="s">
        <v>36</v>
      </c>
      <c r="F66" s="99" t="s">
        <v>115</v>
      </c>
      <c r="G66" s="99" t="s">
        <v>121</v>
      </c>
      <c r="H66" s="100">
        <v>12193.87857537092</v>
      </c>
      <c r="I66" s="100">
        <v>18115.446897765556</v>
      </c>
      <c r="J66" s="100">
        <f t="shared" si="0"/>
        <v>15154.662736568238</v>
      </c>
      <c r="K66" s="100">
        <v>12456.118360521506</v>
      </c>
      <c r="L66" s="100">
        <v>18424.122065378477</v>
      </c>
      <c r="M66" s="100">
        <v>9854.4214570323093</v>
      </c>
      <c r="N66" s="100">
        <v>12806.482421390721</v>
      </c>
      <c r="O66" s="100">
        <v>23496.384626882227</v>
      </c>
      <c r="P66" s="100">
        <v>34906.654627304451</v>
      </c>
      <c r="Q66" s="97" t="s">
        <v>738</v>
      </c>
    </row>
    <row r="67" spans="1:17">
      <c r="A67" s="98">
        <v>66</v>
      </c>
      <c r="B67" s="99" t="s">
        <v>748</v>
      </c>
      <c r="C67" s="99" t="s">
        <v>748</v>
      </c>
      <c r="D67" s="99" t="s">
        <v>749</v>
      </c>
      <c r="E67" s="99" t="s">
        <v>36</v>
      </c>
      <c r="F67" s="99" t="s">
        <v>115</v>
      </c>
      <c r="G67" s="99" t="s">
        <v>121</v>
      </c>
      <c r="H67" s="100">
        <v>10174.826618747822</v>
      </c>
      <c r="I67" s="100">
        <v>15670.078610232498</v>
      </c>
      <c r="J67" s="100">
        <f t="shared" ref="J67:J130" si="1">IF(H67=0,I67,AVERAGE(H67:I67))</f>
        <v>12922.452614490161</v>
      </c>
      <c r="K67" s="100">
        <v>10347.68234208246</v>
      </c>
      <c r="L67" s="100">
        <v>15864.579659777477</v>
      </c>
      <c r="M67" s="100">
        <v>8454.5828133910072</v>
      </c>
      <c r="N67" s="100">
        <v>11431.580163017539</v>
      </c>
      <c r="O67" s="100">
        <v>19771.784938721466</v>
      </c>
      <c r="P67" s="100">
        <v>30457.355107024632</v>
      </c>
      <c r="Q67" s="97" t="s">
        <v>737</v>
      </c>
    </row>
    <row r="68" spans="1:17">
      <c r="A68" s="98">
        <v>67</v>
      </c>
      <c r="B68" s="99" t="s">
        <v>528</v>
      </c>
      <c r="C68" s="99" t="s">
        <v>528</v>
      </c>
      <c r="D68" s="99" t="s">
        <v>529</v>
      </c>
      <c r="E68" s="99" t="s">
        <v>36</v>
      </c>
      <c r="F68" s="99" t="s">
        <v>114</v>
      </c>
      <c r="G68" s="99" t="s">
        <v>325</v>
      </c>
      <c r="H68" s="100">
        <v>17169.184081546176</v>
      </c>
      <c r="I68" s="100">
        <v>25881.93254628218</v>
      </c>
      <c r="J68" s="100">
        <f t="shared" si="1"/>
        <v>21525.558313914178</v>
      </c>
      <c r="K68" s="100">
        <v>17976.731257744414</v>
      </c>
      <c r="L68" s="100">
        <v>26821.539930576109</v>
      </c>
      <c r="M68" s="100">
        <v>15463.685072025435</v>
      </c>
      <c r="N68" s="100">
        <v>19780.333790401695</v>
      </c>
      <c r="O68" s="100">
        <v>33594.189364323276</v>
      </c>
      <c r="P68" s="100">
        <v>50640.267320228057</v>
      </c>
      <c r="Q68" s="97" t="s">
        <v>737</v>
      </c>
    </row>
    <row r="69" spans="1:17">
      <c r="A69" s="98">
        <v>68</v>
      </c>
      <c r="B69" s="99" t="s">
        <v>430</v>
      </c>
      <c r="C69" s="99" t="s">
        <v>430</v>
      </c>
      <c r="D69" s="99" t="s">
        <v>431</v>
      </c>
      <c r="E69" s="99" t="s">
        <v>36</v>
      </c>
      <c r="F69" s="99" t="s">
        <v>119</v>
      </c>
      <c r="G69" s="99" t="s">
        <v>322</v>
      </c>
      <c r="H69" s="100">
        <v>9858.2347993863004</v>
      </c>
      <c r="I69" s="100">
        <v>15207.85038785986</v>
      </c>
      <c r="J69" s="100">
        <f t="shared" si="1"/>
        <v>12533.04259362308</v>
      </c>
      <c r="K69" s="100">
        <v>10002.361919291097</v>
      </c>
      <c r="L69" s="100">
        <v>15368.625027024666</v>
      </c>
      <c r="M69" s="100">
        <v>8137.3235872284058</v>
      </c>
      <c r="N69" s="100">
        <v>11053.683106089433</v>
      </c>
      <c r="O69" s="100">
        <v>19146.129159998767</v>
      </c>
      <c r="P69" s="100">
        <v>29543.798010239439</v>
      </c>
      <c r="Q69" s="97" t="s">
        <v>737</v>
      </c>
    </row>
    <row r="70" spans="1:17">
      <c r="A70" s="98">
        <v>69</v>
      </c>
      <c r="B70" s="99" t="s">
        <v>662</v>
      </c>
      <c r="C70" s="99" t="s">
        <v>662</v>
      </c>
      <c r="D70" s="99" t="s">
        <v>663</v>
      </c>
      <c r="E70" s="99" t="s">
        <v>36</v>
      </c>
      <c r="F70" s="99" t="s">
        <v>115</v>
      </c>
      <c r="G70" s="99" t="s">
        <v>121</v>
      </c>
      <c r="H70" s="100">
        <v>15731.252391755619</v>
      </c>
      <c r="I70" s="100">
        <v>24317.7998174893</v>
      </c>
      <c r="J70" s="100">
        <f t="shared" si="1"/>
        <v>20024.526104622459</v>
      </c>
      <c r="K70" s="100">
        <v>16235.94769832374</v>
      </c>
      <c r="L70" s="100">
        <v>24879.024811484189</v>
      </c>
      <c r="M70" s="100">
        <v>14400.620401742499</v>
      </c>
      <c r="N70" s="100">
        <v>19038.80280990473</v>
      </c>
      <c r="O70" s="100">
        <v>30875.729069298752</v>
      </c>
      <c r="P70" s="100">
        <v>47728.54570178625</v>
      </c>
      <c r="Q70" s="97" t="s">
        <v>738</v>
      </c>
    </row>
    <row r="71" spans="1:17">
      <c r="A71" s="98">
        <v>70</v>
      </c>
      <c r="B71" s="99" t="s">
        <v>434</v>
      </c>
      <c r="C71" s="99" t="s">
        <v>434</v>
      </c>
      <c r="D71" s="99" t="s">
        <v>435</v>
      </c>
      <c r="E71" s="99" t="s">
        <v>36</v>
      </c>
      <c r="F71" s="99" t="s">
        <v>115</v>
      </c>
      <c r="G71" s="99" t="s">
        <v>322</v>
      </c>
      <c r="H71" s="100">
        <v>9349.5369372968853</v>
      </c>
      <c r="I71" s="100">
        <v>14955.554770610526</v>
      </c>
      <c r="J71" s="100">
        <f t="shared" si="1"/>
        <v>12152.545853953707</v>
      </c>
      <c r="K71" s="100">
        <v>9332.5418728792411</v>
      </c>
      <c r="L71" s="100">
        <v>14935.691818516118</v>
      </c>
      <c r="M71" s="100">
        <v>7577.8230865375926</v>
      </c>
      <c r="N71" s="100">
        <v>10916.231543753351</v>
      </c>
      <c r="O71" s="100">
        <v>17606.767474209373</v>
      </c>
      <c r="P71" s="100">
        <v>28163.852077370622</v>
      </c>
      <c r="Q71" s="97" t="s">
        <v>738</v>
      </c>
    </row>
    <row r="72" spans="1:17">
      <c r="A72" s="98">
        <v>71</v>
      </c>
      <c r="B72" s="99" t="s">
        <v>438</v>
      </c>
      <c r="C72" s="99" t="s">
        <v>438</v>
      </c>
      <c r="D72" s="99" t="s">
        <v>439</v>
      </c>
      <c r="E72" s="99" t="s">
        <v>36</v>
      </c>
      <c r="F72" s="99" t="s">
        <v>119</v>
      </c>
      <c r="G72" s="99" t="s">
        <v>325</v>
      </c>
      <c r="H72" s="100">
        <v>7777.1506590847748</v>
      </c>
      <c r="I72" s="100">
        <v>14661.262871938878</v>
      </c>
      <c r="J72" s="100">
        <f t="shared" si="1"/>
        <v>11219.206765511826</v>
      </c>
      <c r="K72" s="100">
        <v>6232.8475715049954</v>
      </c>
      <c r="L72" s="100">
        <v>12780.32489300688</v>
      </c>
      <c r="M72" s="100">
        <v>4284.8188721556635</v>
      </c>
      <c r="N72" s="100">
        <v>9361.4696578086332</v>
      </c>
      <c r="O72" s="100">
        <v>15280.701157982949</v>
      </c>
      <c r="P72" s="100">
        <v>28806.742516042948</v>
      </c>
      <c r="Q72" s="97" t="s">
        <v>738</v>
      </c>
    </row>
    <row r="73" spans="1:17">
      <c r="A73" s="98">
        <v>72</v>
      </c>
      <c r="B73" s="99" t="s">
        <v>750</v>
      </c>
      <c r="C73" s="99" t="s">
        <v>750</v>
      </c>
      <c r="D73" s="99" t="s">
        <v>751</v>
      </c>
      <c r="E73" s="99" t="s">
        <v>36</v>
      </c>
      <c r="F73" s="99" t="s">
        <v>115</v>
      </c>
      <c r="G73" s="99" t="s">
        <v>121</v>
      </c>
      <c r="H73" s="100">
        <v>10174.826618747822</v>
      </c>
      <c r="I73" s="100">
        <v>15670.078610232498</v>
      </c>
      <c r="J73" s="100">
        <f t="shared" si="1"/>
        <v>12922.452614490161</v>
      </c>
      <c r="K73" s="100">
        <v>10347.68234208246</v>
      </c>
      <c r="L73" s="100">
        <v>15864.579659777477</v>
      </c>
      <c r="M73" s="100">
        <v>8454.5828133910072</v>
      </c>
      <c r="N73" s="100">
        <v>11431.580163017539</v>
      </c>
      <c r="O73" s="100">
        <v>19771.784938721466</v>
      </c>
      <c r="P73" s="100">
        <v>30457.355107024632</v>
      </c>
      <c r="Q73" s="97" t="s">
        <v>737</v>
      </c>
    </row>
    <row r="74" spans="1:17">
      <c r="A74" s="98">
        <v>73</v>
      </c>
      <c r="B74" s="99" t="s">
        <v>446</v>
      </c>
      <c r="C74" s="99" t="s">
        <v>446</v>
      </c>
      <c r="D74" s="99" t="s">
        <v>447</v>
      </c>
      <c r="E74" s="99" t="s">
        <v>36</v>
      </c>
      <c r="F74" s="99" t="s">
        <v>119</v>
      </c>
      <c r="G74" s="99" t="s">
        <v>325</v>
      </c>
      <c r="H74" s="100">
        <v>8825.1461245686769</v>
      </c>
      <c r="I74" s="100">
        <v>13699.527327973832</v>
      </c>
      <c r="J74" s="100">
        <f t="shared" si="1"/>
        <v>11262.336726271255</v>
      </c>
      <c r="K74" s="100">
        <v>8875.527313493476</v>
      </c>
      <c r="L74" s="100">
        <v>13750.247409581603</v>
      </c>
      <c r="M74" s="100">
        <v>7102.0570595241152</v>
      </c>
      <c r="N74" s="100">
        <v>9820.5458426355908</v>
      </c>
      <c r="O74" s="100">
        <v>17104.516396168845</v>
      </c>
      <c r="P74" s="100">
        <v>26562.718169353437</v>
      </c>
      <c r="Q74" s="97" t="s">
        <v>737</v>
      </c>
    </row>
    <row r="75" spans="1:17">
      <c r="A75" s="98">
        <v>74</v>
      </c>
      <c r="B75" s="99" t="s">
        <v>432</v>
      </c>
      <c r="C75" s="99" t="s">
        <v>432</v>
      </c>
      <c r="D75" s="99" t="s">
        <v>433</v>
      </c>
      <c r="E75" s="99" t="s">
        <v>36</v>
      </c>
      <c r="F75" s="99" t="s">
        <v>119</v>
      </c>
      <c r="G75" s="99" t="s">
        <v>319</v>
      </c>
      <c r="H75" s="100">
        <v>6235.7700063523625</v>
      </c>
      <c r="I75" s="100">
        <v>9919.0041211800708</v>
      </c>
      <c r="J75" s="100">
        <f t="shared" si="1"/>
        <v>8077.3870637662167</v>
      </c>
      <c r="K75" s="100">
        <v>6051.1825224259055</v>
      </c>
      <c r="L75" s="100">
        <v>9693.8789147835432</v>
      </c>
      <c r="M75" s="100">
        <v>4507.2222808934639</v>
      </c>
      <c r="N75" s="100">
        <v>6729.7596804180184</v>
      </c>
      <c r="O75" s="100">
        <v>11987.333852046893</v>
      </c>
      <c r="P75" s="100">
        <v>19090.816545953097</v>
      </c>
      <c r="Q75" s="97" t="s">
        <v>737</v>
      </c>
    </row>
    <row r="76" spans="1:17">
      <c r="A76" s="98">
        <v>75</v>
      </c>
      <c r="B76" s="99" t="s">
        <v>448</v>
      </c>
      <c r="C76" s="99" t="s">
        <v>448</v>
      </c>
      <c r="D76" s="99" t="s">
        <v>449</v>
      </c>
      <c r="E76" s="99" t="s">
        <v>36</v>
      </c>
      <c r="F76" s="99" t="s">
        <v>119</v>
      </c>
      <c r="G76" s="99" t="s">
        <v>319</v>
      </c>
      <c r="H76" s="100">
        <v>6753.7669221555234</v>
      </c>
      <c r="I76" s="100">
        <v>10675.286434693649</v>
      </c>
      <c r="J76" s="100">
        <f t="shared" si="1"/>
        <v>8714.5266784245869</v>
      </c>
      <c r="K76" s="100">
        <v>6616.1842155540207</v>
      </c>
      <c r="L76" s="100">
        <v>10505.343249719135</v>
      </c>
      <c r="M76" s="100">
        <v>5026.3111853185765</v>
      </c>
      <c r="N76" s="100">
        <v>7348.0621696441294</v>
      </c>
      <c r="O76" s="100">
        <v>13011.010851618072</v>
      </c>
      <c r="P76" s="100">
        <v>20585.548025430919</v>
      </c>
      <c r="Q76" s="97" t="s">
        <v>737</v>
      </c>
    </row>
    <row r="77" spans="1:17">
      <c r="A77" s="98">
        <v>76</v>
      </c>
      <c r="B77" s="99" t="s">
        <v>420</v>
      </c>
      <c r="C77" s="99" t="s">
        <v>420</v>
      </c>
      <c r="D77" s="99" t="s">
        <v>421</v>
      </c>
      <c r="E77" s="99" t="s">
        <v>36</v>
      </c>
      <c r="F77" s="99" t="s">
        <v>119</v>
      </c>
      <c r="G77" s="99" t="s">
        <v>322</v>
      </c>
      <c r="H77" s="100">
        <v>7668.729348686109</v>
      </c>
      <c r="I77" s="100">
        <v>12011.143617630039</v>
      </c>
      <c r="J77" s="100">
        <f t="shared" si="1"/>
        <v>9839.9364831580751</v>
      </c>
      <c r="K77" s="100">
        <v>7614.1734011398921</v>
      </c>
      <c r="L77" s="100">
        <v>11938.671044315177</v>
      </c>
      <c r="M77" s="100">
        <v>5943.2024429460316</v>
      </c>
      <c r="N77" s="100">
        <v>8440.1990697163255</v>
      </c>
      <c r="O77" s="100">
        <v>14819.17990231395</v>
      </c>
      <c r="P77" s="100">
        <v>23225.762860212628</v>
      </c>
      <c r="Q77" s="97" t="s">
        <v>737</v>
      </c>
    </row>
    <row r="78" spans="1:17">
      <c r="A78" s="98">
        <v>77</v>
      </c>
      <c r="B78" s="99" t="s">
        <v>440</v>
      </c>
      <c r="C78" s="99" t="s">
        <v>440</v>
      </c>
      <c r="D78" s="99" t="s">
        <v>441</v>
      </c>
      <c r="E78" s="99" t="s">
        <v>36</v>
      </c>
      <c r="F78" s="99" t="s">
        <v>115</v>
      </c>
      <c r="G78" s="99" t="s">
        <v>121</v>
      </c>
      <c r="H78" s="100">
        <v>10544.325292551704</v>
      </c>
      <c r="I78" s="100">
        <v>14862.35078593879</v>
      </c>
      <c r="J78" s="100">
        <f t="shared" si="1"/>
        <v>12703.338039245247</v>
      </c>
      <c r="K78" s="100">
        <v>11794.796018853818</v>
      </c>
      <c r="L78" s="100">
        <v>16318.262264617797</v>
      </c>
      <c r="M78" s="100">
        <v>9076.5901379724219</v>
      </c>
      <c r="N78" s="100">
        <v>10817.539819663905</v>
      </c>
      <c r="O78" s="100">
        <v>19777.990951239233</v>
      </c>
      <c r="P78" s="100">
        <v>27877.311369185391</v>
      </c>
      <c r="Q78" s="97" t="s">
        <v>738</v>
      </c>
    </row>
    <row r="79" spans="1:17">
      <c r="A79" s="98">
        <v>78</v>
      </c>
      <c r="B79" s="99" t="s">
        <v>442</v>
      </c>
      <c r="C79" s="99" t="s">
        <v>442</v>
      </c>
      <c r="D79" s="99" t="s">
        <v>443</v>
      </c>
      <c r="E79" s="99" t="s">
        <v>36</v>
      </c>
      <c r="F79" s="99" t="s">
        <v>116</v>
      </c>
      <c r="G79" s="99" t="s">
        <v>322</v>
      </c>
      <c r="H79" s="100">
        <v>10396.237460472701</v>
      </c>
      <c r="I79" s="100">
        <v>15993.341352747188</v>
      </c>
      <c r="J79" s="100">
        <f t="shared" si="1"/>
        <v>13194.789406609943</v>
      </c>
      <c r="K79" s="100">
        <v>10589.184746121899</v>
      </c>
      <c r="L79" s="100">
        <v>16211.429218040257</v>
      </c>
      <c r="M79" s="100">
        <v>8676.4604110222717</v>
      </c>
      <c r="N79" s="100">
        <v>11695.865278244293</v>
      </c>
      <c r="O79" s="100">
        <v>20209.341957334262</v>
      </c>
      <c r="P79" s="100">
        <v>31096.258052056106</v>
      </c>
      <c r="Q79" s="97" t="s">
        <v>737</v>
      </c>
    </row>
    <row r="80" spans="1:17">
      <c r="A80" s="98">
        <v>79</v>
      </c>
      <c r="B80" s="99" t="s">
        <v>698</v>
      </c>
      <c r="C80" s="99" t="s">
        <v>698</v>
      </c>
      <c r="D80" s="99" t="s">
        <v>699</v>
      </c>
      <c r="E80" s="99" t="s">
        <v>36</v>
      </c>
      <c r="F80" s="99" t="s">
        <v>115</v>
      </c>
      <c r="G80" s="99" t="s">
        <v>121</v>
      </c>
      <c r="H80" s="100">
        <v>10174.826618747822</v>
      </c>
      <c r="I80" s="100">
        <v>15670.078610232498</v>
      </c>
      <c r="J80" s="100">
        <f t="shared" si="1"/>
        <v>12922.452614490161</v>
      </c>
      <c r="K80" s="100">
        <v>10347.68234208246</v>
      </c>
      <c r="L80" s="100">
        <v>15864.579659777477</v>
      </c>
      <c r="M80" s="100">
        <v>8454.5828133910072</v>
      </c>
      <c r="N80" s="100">
        <v>11431.580163017539</v>
      </c>
      <c r="O80" s="100">
        <v>19771.784938721466</v>
      </c>
      <c r="P80" s="100">
        <v>30457.355107024632</v>
      </c>
      <c r="Q80" s="97" t="s">
        <v>737</v>
      </c>
    </row>
    <row r="81" spans="1:17">
      <c r="A81" s="98">
        <v>80</v>
      </c>
      <c r="B81" s="99" t="s">
        <v>444</v>
      </c>
      <c r="C81" s="99" t="s">
        <v>444</v>
      </c>
      <c r="D81" s="99" t="s">
        <v>445</v>
      </c>
      <c r="E81" s="99" t="s">
        <v>36</v>
      </c>
      <c r="F81" s="99" t="s">
        <v>116</v>
      </c>
      <c r="G81" s="99" t="s">
        <v>322</v>
      </c>
      <c r="H81" s="100">
        <v>9346.4318401451092</v>
      </c>
      <c r="I81" s="100">
        <v>14460.611332434462</v>
      </c>
      <c r="J81" s="100">
        <f t="shared" si="1"/>
        <v>11903.521586289786</v>
      </c>
      <c r="K81" s="100">
        <v>9444.1162431158027</v>
      </c>
      <c r="L81" s="100">
        <v>14566.863790097652</v>
      </c>
      <c r="M81" s="100">
        <v>7624.4416968370078</v>
      </c>
      <c r="N81" s="100">
        <v>10442.773978954072</v>
      </c>
      <c r="O81" s="100">
        <v>18134.692794831757</v>
      </c>
      <c r="P81" s="100">
        <v>28066.939806785551</v>
      </c>
      <c r="Q81" s="97" t="s">
        <v>737</v>
      </c>
    </row>
    <row r="82" spans="1:17">
      <c r="A82" s="98">
        <v>81</v>
      </c>
      <c r="B82" s="99" t="s">
        <v>752</v>
      </c>
      <c r="C82" s="99" t="s">
        <v>752</v>
      </c>
      <c r="D82" s="99" t="s">
        <v>753</v>
      </c>
      <c r="E82" s="99" t="s">
        <v>36</v>
      </c>
      <c r="F82" s="99" t="s">
        <v>114</v>
      </c>
      <c r="G82" s="99" t="s">
        <v>121</v>
      </c>
      <c r="H82" s="100">
        <v>8909.6044127128171</v>
      </c>
      <c r="I82" s="100">
        <v>13822.837540070383</v>
      </c>
      <c r="J82" s="100">
        <f t="shared" si="1"/>
        <v>11366.2209763916</v>
      </c>
      <c r="K82" s="100">
        <v>8967.6496299481059</v>
      </c>
      <c r="L82" s="100">
        <v>13882.55493213204</v>
      </c>
      <c r="M82" s="100">
        <v>7186.6933940752297</v>
      </c>
      <c r="N82" s="100">
        <v>9921.358739782534</v>
      </c>
      <c r="O82" s="100">
        <v>17271.42473936285</v>
      </c>
      <c r="P82" s="100">
        <v>26806.430937017532</v>
      </c>
      <c r="Q82" s="97" t="s">
        <v>737</v>
      </c>
    </row>
    <row r="83" spans="1:17">
      <c r="A83" s="98">
        <v>82</v>
      </c>
      <c r="B83" s="99" t="s">
        <v>450</v>
      </c>
      <c r="C83" s="99" t="s">
        <v>450</v>
      </c>
      <c r="D83" s="99" t="s">
        <v>451</v>
      </c>
      <c r="E83" s="99" t="s">
        <v>36</v>
      </c>
      <c r="F83" s="99" t="s">
        <v>116</v>
      </c>
      <c r="G83" s="99" t="s">
        <v>121</v>
      </c>
      <c r="H83" s="100">
        <v>8092.4820814659533</v>
      </c>
      <c r="I83" s="100">
        <v>12629.828183748619</v>
      </c>
      <c r="J83" s="100">
        <f t="shared" si="1"/>
        <v>10361.155132607286</v>
      </c>
      <c r="K83" s="100">
        <v>8076.3788780143104</v>
      </c>
      <c r="L83" s="100">
        <v>12602.497833610199</v>
      </c>
      <c r="M83" s="100">
        <v>6367.8484883086321</v>
      </c>
      <c r="N83" s="100">
        <v>8946.007813940023</v>
      </c>
      <c r="O83" s="100">
        <v>15656.609456077929</v>
      </c>
      <c r="P83" s="100">
        <v>24448.543401711988</v>
      </c>
      <c r="Q83" s="97" t="s">
        <v>737</v>
      </c>
    </row>
    <row r="84" spans="1:17">
      <c r="A84" s="98">
        <v>83</v>
      </c>
      <c r="B84" s="99" t="s">
        <v>456</v>
      </c>
      <c r="C84" s="99" t="s">
        <v>456</v>
      </c>
      <c r="D84" s="99" t="s">
        <v>457</v>
      </c>
      <c r="E84" s="99" t="s">
        <v>36</v>
      </c>
      <c r="F84" s="99" t="s">
        <v>114</v>
      </c>
      <c r="G84" s="99" t="s">
        <v>121</v>
      </c>
      <c r="H84" s="100">
        <v>12823.034666160016</v>
      </c>
      <c r="I84" s="100">
        <v>19536.497207835178</v>
      </c>
      <c r="J84" s="100">
        <f t="shared" si="1"/>
        <v>16179.765936997597</v>
      </c>
      <c r="K84" s="100">
        <v>13236.197668903369</v>
      </c>
      <c r="L84" s="100">
        <v>20013.110889220181</v>
      </c>
      <c r="M84" s="100">
        <v>11108.37354473067</v>
      </c>
      <c r="N84" s="100">
        <v>14592.590543098235</v>
      </c>
      <c r="O84" s="100">
        <v>25005.232446824604</v>
      </c>
      <c r="P84" s="100">
        <v>38099.022097524008</v>
      </c>
      <c r="Q84" s="97" t="s">
        <v>737</v>
      </c>
    </row>
    <row r="85" spans="1:17">
      <c r="A85" s="98">
        <v>84</v>
      </c>
      <c r="B85" s="99" t="s">
        <v>454</v>
      </c>
      <c r="C85" s="99" t="s">
        <v>454</v>
      </c>
      <c r="D85" s="99" t="s">
        <v>455</v>
      </c>
      <c r="E85" s="99" t="s">
        <v>36</v>
      </c>
      <c r="F85" s="99" t="s">
        <v>116</v>
      </c>
      <c r="G85" s="99" t="s">
        <v>325</v>
      </c>
      <c r="H85" s="100">
        <v>8407.7656796507763</v>
      </c>
      <c r="I85" s="100">
        <v>13090.146385988093</v>
      </c>
      <c r="J85" s="100">
        <f t="shared" si="1"/>
        <v>10748.956032819435</v>
      </c>
      <c r="K85" s="100">
        <v>8420.2723672520733</v>
      </c>
      <c r="L85" s="100">
        <v>13096.403081907793</v>
      </c>
      <c r="M85" s="100">
        <v>6683.7967354351804</v>
      </c>
      <c r="N85" s="100">
        <v>9322.3433240995437</v>
      </c>
      <c r="O85" s="100">
        <v>16279.679899081279</v>
      </c>
      <c r="P85" s="100">
        <v>25358.325496532358</v>
      </c>
      <c r="Q85" s="97" t="s">
        <v>737</v>
      </c>
    </row>
    <row r="86" spans="1:17">
      <c r="A86" s="98">
        <v>85</v>
      </c>
      <c r="B86" s="99" t="s">
        <v>74</v>
      </c>
      <c r="C86" s="99" t="s">
        <v>74</v>
      </c>
      <c r="D86" s="99" t="s">
        <v>75</v>
      </c>
      <c r="E86" s="99" t="s">
        <v>36</v>
      </c>
      <c r="F86" s="99" t="s">
        <v>115</v>
      </c>
      <c r="G86" s="99" t="s">
        <v>121</v>
      </c>
      <c r="H86" s="100">
        <v>8262.7397365919969</v>
      </c>
      <c r="I86" s="100">
        <v>12383.7027578303</v>
      </c>
      <c r="J86" s="100">
        <f t="shared" si="1"/>
        <v>10323.22124721115</v>
      </c>
      <c r="K86" s="100">
        <v>9054.0663023913457</v>
      </c>
      <c r="L86" s="100">
        <v>13305.958330479933</v>
      </c>
      <c r="M86" s="100">
        <v>6792.7350452791825</v>
      </c>
      <c r="N86" s="100">
        <v>8944.2088630902654</v>
      </c>
      <c r="O86" s="100">
        <v>15950.392787517192</v>
      </c>
      <c r="P86" s="100">
        <v>23905.499803715615</v>
      </c>
      <c r="Q86" s="97" t="s">
        <v>738</v>
      </c>
    </row>
    <row r="87" spans="1:17">
      <c r="A87" s="98">
        <v>86</v>
      </c>
      <c r="B87" s="99" t="s">
        <v>452</v>
      </c>
      <c r="C87" s="99" t="s">
        <v>452</v>
      </c>
      <c r="D87" s="99" t="s">
        <v>453</v>
      </c>
      <c r="E87" s="99" t="s">
        <v>36</v>
      </c>
      <c r="F87" s="99" t="s">
        <v>116</v>
      </c>
      <c r="G87" s="99" t="s">
        <v>325</v>
      </c>
      <c r="H87" s="100">
        <v>9739.9989084563895</v>
      </c>
      <c r="I87" s="100">
        <v>15035.224431208815</v>
      </c>
      <c r="J87" s="100">
        <f t="shared" si="1"/>
        <v>12387.611669832602</v>
      </c>
      <c r="K87" s="100">
        <v>9873.3969070953572</v>
      </c>
      <c r="L87" s="100">
        <v>15183.403444285714</v>
      </c>
      <c r="M87" s="100">
        <v>8018.8384433711853</v>
      </c>
      <c r="N87" s="100">
        <v>10912.551868725828</v>
      </c>
      <c r="O87" s="100">
        <v>18912.468768640862</v>
      </c>
      <c r="P87" s="100">
        <v>29202.616619413937</v>
      </c>
      <c r="Q87" s="97" t="s">
        <v>737</v>
      </c>
    </row>
    <row r="88" spans="1:17">
      <c r="A88" s="98">
        <v>87</v>
      </c>
      <c r="B88" s="99" t="s">
        <v>458</v>
      </c>
      <c r="C88" s="99" t="s">
        <v>458</v>
      </c>
      <c r="D88" s="99" t="s">
        <v>459</v>
      </c>
      <c r="E88" s="99" t="s">
        <v>36</v>
      </c>
      <c r="F88" s="99" t="s">
        <v>115</v>
      </c>
      <c r="G88" s="99" t="s">
        <v>121</v>
      </c>
      <c r="H88" s="100">
        <v>9072.0369950716013</v>
      </c>
      <c r="I88" s="100">
        <v>13314.161043060749</v>
      </c>
      <c r="J88" s="100">
        <f t="shared" si="1"/>
        <v>11193.099019066176</v>
      </c>
      <c r="K88" s="100">
        <v>9767.5212357763521</v>
      </c>
      <c r="L88" s="100">
        <v>14119.909270988403</v>
      </c>
      <c r="M88" s="100">
        <v>7076.1501804632444</v>
      </c>
      <c r="N88" s="100">
        <v>9207.2431898712966</v>
      </c>
      <c r="O88" s="100">
        <v>17816.573454621117</v>
      </c>
      <c r="P88" s="100">
        <v>26147.680872467005</v>
      </c>
      <c r="Q88" s="97" t="s">
        <v>738</v>
      </c>
    </row>
    <row r="89" spans="1:17">
      <c r="A89" s="98">
        <v>88</v>
      </c>
      <c r="B89" s="99" t="s">
        <v>464</v>
      </c>
      <c r="C89" s="99" t="s">
        <v>464</v>
      </c>
      <c r="D89" s="99" t="s">
        <v>465</v>
      </c>
      <c r="E89" s="99" t="s">
        <v>36</v>
      </c>
      <c r="F89" s="99" t="s">
        <v>114</v>
      </c>
      <c r="G89" s="99" t="s">
        <v>322</v>
      </c>
      <c r="H89" s="100">
        <v>6911.7303351947594</v>
      </c>
      <c r="I89" s="100">
        <v>11907.387942108677</v>
      </c>
      <c r="J89" s="100">
        <f t="shared" si="1"/>
        <v>9409.559138651719</v>
      </c>
      <c r="K89" s="100">
        <v>6687.3060913243562</v>
      </c>
      <c r="L89" s="100">
        <v>11646.744144929504</v>
      </c>
      <c r="M89" s="100">
        <v>4786.1476352000727</v>
      </c>
      <c r="N89" s="100">
        <v>8228.1690971868884</v>
      </c>
      <c r="O89" s="100">
        <v>13584.314800791781</v>
      </c>
      <c r="P89" s="100">
        <v>23402.780261420394</v>
      </c>
      <c r="Q89" s="97" t="s">
        <v>738</v>
      </c>
    </row>
    <row r="90" spans="1:17">
      <c r="A90" s="98">
        <v>89</v>
      </c>
      <c r="B90" s="99" t="s">
        <v>754</v>
      </c>
      <c r="C90" s="99" t="s">
        <v>754</v>
      </c>
      <c r="D90" s="99" t="s">
        <v>755</v>
      </c>
      <c r="E90" s="99" t="s">
        <v>36</v>
      </c>
      <c r="F90" s="99" t="s">
        <v>115</v>
      </c>
      <c r="G90" s="99" t="s">
        <v>121</v>
      </c>
      <c r="H90" s="100">
        <v>10174.826618747822</v>
      </c>
      <c r="I90" s="100">
        <v>15670.078610232498</v>
      </c>
      <c r="J90" s="100">
        <f t="shared" si="1"/>
        <v>12922.452614490161</v>
      </c>
      <c r="K90" s="100">
        <v>10347.68234208246</v>
      </c>
      <c r="L90" s="100">
        <v>15864.579659777477</v>
      </c>
      <c r="M90" s="100">
        <v>8454.5828133910072</v>
      </c>
      <c r="N90" s="100">
        <v>11431.580163017539</v>
      </c>
      <c r="O90" s="100">
        <v>19771.784938721466</v>
      </c>
      <c r="P90" s="100">
        <v>30457.355107024632</v>
      </c>
      <c r="Q90" s="97" t="s">
        <v>737</v>
      </c>
    </row>
    <row r="91" spans="1:17">
      <c r="A91" s="98">
        <v>90</v>
      </c>
      <c r="B91" s="99" t="s">
        <v>462</v>
      </c>
      <c r="C91" s="99" t="s">
        <v>462</v>
      </c>
      <c r="D91" s="99" t="s">
        <v>463</v>
      </c>
      <c r="E91" s="99" t="s">
        <v>36</v>
      </c>
      <c r="F91" s="99" t="s">
        <v>118</v>
      </c>
      <c r="G91" s="99" t="s">
        <v>325</v>
      </c>
      <c r="H91" s="100">
        <v>3306.5990405059847</v>
      </c>
      <c r="I91" s="100">
        <v>5395.9470803244694</v>
      </c>
      <c r="J91" s="100">
        <f t="shared" si="1"/>
        <v>4351.2730604152275</v>
      </c>
      <c r="K91" s="100">
        <v>3247.1644136016803</v>
      </c>
      <c r="L91" s="100">
        <v>5325.3897949826742</v>
      </c>
      <c r="M91" s="100">
        <v>2411.8047901573614</v>
      </c>
      <c r="N91" s="100">
        <v>3728.3206219910771</v>
      </c>
      <c r="O91" s="100">
        <v>6453.7538752787705</v>
      </c>
      <c r="P91" s="100">
        <v>10531.701592435693</v>
      </c>
      <c r="Q91" s="97" t="s">
        <v>738</v>
      </c>
    </row>
    <row r="92" spans="1:17">
      <c r="A92" s="98">
        <v>91</v>
      </c>
      <c r="B92" s="99" t="s">
        <v>470</v>
      </c>
      <c r="C92" s="99" t="s">
        <v>470</v>
      </c>
      <c r="D92" s="99" t="s">
        <v>471</v>
      </c>
      <c r="E92" s="99" t="s">
        <v>36</v>
      </c>
      <c r="F92" s="99" t="s">
        <v>115</v>
      </c>
      <c r="G92" s="99" t="s">
        <v>121</v>
      </c>
      <c r="H92" s="100">
        <v>20315.143131906487</v>
      </c>
      <c r="I92" s="100">
        <v>31460.075469868396</v>
      </c>
      <c r="J92" s="100">
        <f t="shared" si="1"/>
        <v>25887.609300887441</v>
      </c>
      <c r="K92" s="100">
        <v>20695.904642300018</v>
      </c>
      <c r="L92" s="100">
        <v>31902.794560211227</v>
      </c>
      <c r="M92" s="100">
        <v>20738.460591307794</v>
      </c>
      <c r="N92" s="100">
        <v>26258.932974887484</v>
      </c>
      <c r="O92" s="100">
        <v>39720.16785150356</v>
      </c>
      <c r="P92" s="100">
        <v>61510.739558686691</v>
      </c>
      <c r="Q92" s="97" t="s">
        <v>738</v>
      </c>
    </row>
    <row r="93" spans="1:17">
      <c r="A93" s="98">
        <v>92</v>
      </c>
      <c r="B93" s="99" t="s">
        <v>466</v>
      </c>
      <c r="C93" s="99" t="s">
        <v>466</v>
      </c>
      <c r="D93" s="99" t="s">
        <v>467</v>
      </c>
      <c r="E93" s="99" t="s">
        <v>36</v>
      </c>
      <c r="F93" s="99" t="s">
        <v>117</v>
      </c>
      <c r="G93" s="99" t="s">
        <v>325</v>
      </c>
      <c r="H93" s="100">
        <v>5072.4118811342569</v>
      </c>
      <c r="I93" s="100">
        <v>8220.4859494635748</v>
      </c>
      <c r="J93" s="100">
        <f t="shared" si="1"/>
        <v>6646.4489152989154</v>
      </c>
      <c r="K93" s="100">
        <v>4782.2573794191585</v>
      </c>
      <c r="L93" s="100">
        <v>7871.4286287460191</v>
      </c>
      <c r="M93" s="100">
        <v>3341.4116819303699</v>
      </c>
      <c r="N93" s="100">
        <v>5341.1274265589773</v>
      </c>
      <c r="O93" s="100">
        <v>9688.2797096037648</v>
      </c>
      <c r="P93" s="100">
        <v>15733.831284808053</v>
      </c>
      <c r="Q93" s="97" t="s">
        <v>737</v>
      </c>
    </row>
    <row r="94" spans="1:17">
      <c r="A94" s="98">
        <v>93</v>
      </c>
      <c r="B94" s="99" t="s">
        <v>468</v>
      </c>
      <c r="C94" s="99" t="s">
        <v>468</v>
      </c>
      <c r="D94" s="99" t="s">
        <v>469</v>
      </c>
      <c r="E94" s="99" t="s">
        <v>36</v>
      </c>
      <c r="F94" s="99" t="s">
        <v>117</v>
      </c>
      <c r="G94" s="99" t="s">
        <v>322</v>
      </c>
      <c r="H94" s="100">
        <v>6376.1431275087698</v>
      </c>
      <c r="I94" s="100">
        <v>9616.2624339020404</v>
      </c>
      <c r="J94" s="100">
        <f t="shared" si="1"/>
        <v>7996.2027807054055</v>
      </c>
      <c r="K94" s="100">
        <v>5334.3730893729899</v>
      </c>
      <c r="L94" s="100">
        <v>8386.0745708352224</v>
      </c>
      <c r="M94" s="100">
        <v>4107.0658169073913</v>
      </c>
      <c r="N94" s="100">
        <v>5888.3590901549433</v>
      </c>
      <c r="O94" s="100">
        <v>11775.333605020645</v>
      </c>
      <c r="P94" s="100">
        <v>17759.121137681606</v>
      </c>
      <c r="Q94" s="97" t="s">
        <v>738</v>
      </c>
    </row>
    <row r="95" spans="1:17">
      <c r="A95" s="98">
        <v>94</v>
      </c>
      <c r="B95" s="99" t="s">
        <v>460</v>
      </c>
      <c r="C95" s="99" t="s">
        <v>460</v>
      </c>
      <c r="D95" s="99" t="s">
        <v>461</v>
      </c>
      <c r="E95" s="99" t="s">
        <v>36</v>
      </c>
      <c r="F95" s="99" t="s">
        <v>115</v>
      </c>
      <c r="G95" s="99" t="s">
        <v>121</v>
      </c>
      <c r="H95" s="100">
        <v>21857.661500332393</v>
      </c>
      <c r="I95" s="100">
        <v>30050.859189112332</v>
      </c>
      <c r="J95" s="100">
        <f t="shared" si="1"/>
        <v>25954.260344722363</v>
      </c>
      <c r="K95" s="100">
        <v>22575.239335418133</v>
      </c>
      <c r="L95" s="100">
        <v>30905.878237279518</v>
      </c>
      <c r="M95" s="100">
        <v>19907.456846125744</v>
      </c>
      <c r="N95" s="100">
        <v>22378.592692901031</v>
      </c>
      <c r="O95" s="100">
        <v>42886.917629802185</v>
      </c>
      <c r="P95" s="100">
        <v>58962.790814957305</v>
      </c>
      <c r="Q95" s="97" t="s">
        <v>738</v>
      </c>
    </row>
    <row r="96" spans="1:17">
      <c r="A96" s="98">
        <v>95</v>
      </c>
      <c r="B96" s="99" t="s">
        <v>472</v>
      </c>
      <c r="C96" s="99" t="s">
        <v>472</v>
      </c>
      <c r="D96" s="99" t="s">
        <v>473</v>
      </c>
      <c r="E96" s="99" t="s">
        <v>36</v>
      </c>
      <c r="F96" s="99" t="s">
        <v>117</v>
      </c>
      <c r="G96" s="99" t="s">
        <v>121</v>
      </c>
      <c r="H96" s="100">
        <v>16901.619829776628</v>
      </c>
      <c r="I96" s="100">
        <v>24367.232960035661</v>
      </c>
      <c r="J96" s="100">
        <f t="shared" si="1"/>
        <v>20634.426394906142</v>
      </c>
      <c r="K96" s="100">
        <v>15127.924024010261</v>
      </c>
      <c r="L96" s="100">
        <v>22318.625079340825</v>
      </c>
      <c r="M96" s="100">
        <v>12743.386313814392</v>
      </c>
      <c r="N96" s="100">
        <v>16200.113372048601</v>
      </c>
      <c r="O96" s="100">
        <v>33178.724806843005</v>
      </c>
      <c r="P96" s="100">
        <v>47834.096662198004</v>
      </c>
      <c r="Q96" s="97" t="s">
        <v>738</v>
      </c>
    </row>
    <row r="97" spans="1:17">
      <c r="A97" s="98">
        <v>96</v>
      </c>
      <c r="B97" s="99" t="s">
        <v>474</v>
      </c>
      <c r="C97" s="99" t="s">
        <v>474</v>
      </c>
      <c r="D97" s="99" t="s">
        <v>475</v>
      </c>
      <c r="E97" s="99" t="s">
        <v>36</v>
      </c>
      <c r="F97" s="99" t="s">
        <v>115</v>
      </c>
      <c r="G97" s="99" t="s">
        <v>121</v>
      </c>
      <c r="H97" s="100">
        <v>12952.675340759655</v>
      </c>
      <c r="I97" s="100">
        <v>20390.429170801857</v>
      </c>
      <c r="J97" s="100">
        <f t="shared" si="1"/>
        <v>16671.552255780756</v>
      </c>
      <c r="K97" s="100">
        <v>14423.739743656542</v>
      </c>
      <c r="L97" s="100">
        <v>22113.279028812587</v>
      </c>
      <c r="M97" s="100">
        <v>10985.897254207266</v>
      </c>
      <c r="N97" s="100">
        <v>15257.044156723805</v>
      </c>
      <c r="O97" s="100">
        <v>24860.069781520004</v>
      </c>
      <c r="P97" s="100">
        <v>39135.350707520003</v>
      </c>
      <c r="Q97" s="97" t="s">
        <v>738</v>
      </c>
    </row>
    <row r="98" spans="1:17">
      <c r="A98" s="98">
        <v>97</v>
      </c>
      <c r="B98" s="99" t="s">
        <v>476</v>
      </c>
      <c r="C98" s="99" t="s">
        <v>476</v>
      </c>
      <c r="D98" s="99" t="s">
        <v>477</v>
      </c>
      <c r="E98" s="99" t="s">
        <v>36</v>
      </c>
      <c r="F98" s="99" t="s">
        <v>116</v>
      </c>
      <c r="G98" s="99" t="s">
        <v>322</v>
      </c>
      <c r="H98" s="100">
        <v>8125.6842947418954</v>
      </c>
      <c r="I98" s="100">
        <v>14511.376999649383</v>
      </c>
      <c r="J98" s="100">
        <f t="shared" si="1"/>
        <v>11318.530647195639</v>
      </c>
      <c r="K98" s="100">
        <v>8203.3063058858897</v>
      </c>
      <c r="L98" s="100">
        <v>14604.099701006968</v>
      </c>
      <c r="M98" s="100">
        <v>7522.040140296338</v>
      </c>
      <c r="N98" s="100">
        <v>11733.701588880725</v>
      </c>
      <c r="O98" s="100">
        <v>15804.537210115932</v>
      </c>
      <c r="P98" s="100">
        <v>28224.773378088044</v>
      </c>
      <c r="Q98" s="97" t="s">
        <v>738</v>
      </c>
    </row>
    <row r="99" spans="1:17">
      <c r="A99" s="98">
        <v>98</v>
      </c>
      <c r="B99" s="99" t="s">
        <v>480</v>
      </c>
      <c r="C99" s="99" t="s">
        <v>480</v>
      </c>
      <c r="D99" s="99" t="s">
        <v>481</v>
      </c>
      <c r="E99" s="99" t="s">
        <v>36</v>
      </c>
      <c r="F99" s="99" t="s">
        <v>117</v>
      </c>
      <c r="G99" s="99" t="s">
        <v>325</v>
      </c>
      <c r="H99" s="100">
        <v>5762.0887668149144</v>
      </c>
      <c r="I99" s="100">
        <v>8334.2191227022577</v>
      </c>
      <c r="J99" s="100">
        <f t="shared" si="1"/>
        <v>7048.1539447585856</v>
      </c>
      <c r="K99" s="100">
        <v>5365.7231504973752</v>
      </c>
      <c r="L99" s="100">
        <v>7856.2846897132677</v>
      </c>
      <c r="M99" s="100">
        <v>4089.4331804541334</v>
      </c>
      <c r="N99" s="100">
        <v>5274.7275940862464</v>
      </c>
      <c r="O99" s="100">
        <v>10418.375078390378</v>
      </c>
      <c r="P99" s="100">
        <v>15069.018253566726</v>
      </c>
      <c r="Q99" s="97" t="s">
        <v>738</v>
      </c>
    </row>
    <row r="100" spans="1:17">
      <c r="A100" s="98">
        <v>99</v>
      </c>
      <c r="B100" s="99" t="s">
        <v>478</v>
      </c>
      <c r="C100" s="99" t="s">
        <v>478</v>
      </c>
      <c r="D100" s="99" t="s">
        <v>479</v>
      </c>
      <c r="E100" s="99" t="s">
        <v>36</v>
      </c>
      <c r="F100" s="99" t="s">
        <v>114</v>
      </c>
      <c r="G100" s="99" t="s">
        <v>121</v>
      </c>
      <c r="H100" s="100">
        <v>10061.391808670216</v>
      </c>
      <c r="I100" s="100">
        <v>19641.340918681413</v>
      </c>
      <c r="J100" s="100">
        <f t="shared" si="1"/>
        <v>14851.366363675814</v>
      </c>
      <c r="K100" s="100">
        <v>11248.842808883915</v>
      </c>
      <c r="L100" s="100">
        <v>21009.21926278462</v>
      </c>
      <c r="M100" s="100">
        <v>7884.84165546846</v>
      </c>
      <c r="N100" s="100">
        <v>15130.491480029863</v>
      </c>
      <c r="O100" s="100">
        <v>19861.187430315007</v>
      </c>
      <c r="P100" s="100">
        <v>38772.006973477102</v>
      </c>
      <c r="Q100" s="97" t="s">
        <v>738</v>
      </c>
    </row>
    <row r="101" spans="1:17">
      <c r="A101" s="98">
        <v>100</v>
      </c>
      <c r="B101" s="99" t="s">
        <v>482</v>
      </c>
      <c r="C101" s="99" t="s">
        <v>482</v>
      </c>
      <c r="D101" s="99" t="s">
        <v>483</v>
      </c>
      <c r="E101" s="99" t="s">
        <v>36</v>
      </c>
      <c r="F101" s="99" t="s">
        <v>115</v>
      </c>
      <c r="G101" s="99" t="s">
        <v>322</v>
      </c>
      <c r="H101" s="100">
        <v>8705.2078377026173</v>
      </c>
      <c r="I101" s="100">
        <v>12607.15138286108</v>
      </c>
      <c r="J101" s="100">
        <f t="shared" si="1"/>
        <v>10656.179610281848</v>
      </c>
      <c r="K101" s="100">
        <v>7951.1875905048228</v>
      </c>
      <c r="L101" s="100">
        <v>11753.356449329827</v>
      </c>
      <c r="M101" s="100">
        <v>6008.4191124890394</v>
      </c>
      <c r="N101" s="100">
        <v>8021.9186270825512</v>
      </c>
      <c r="O101" s="100">
        <v>16987.342574492886</v>
      </c>
      <c r="P101" s="100">
        <v>24601.595208515111</v>
      </c>
      <c r="Q101" s="97" t="s">
        <v>738</v>
      </c>
    </row>
    <row r="102" spans="1:17">
      <c r="A102" s="98">
        <v>101</v>
      </c>
      <c r="B102" s="99" t="s">
        <v>484</v>
      </c>
      <c r="C102" s="99" t="s">
        <v>484</v>
      </c>
      <c r="D102" s="99" t="s">
        <v>485</v>
      </c>
      <c r="E102" s="99" t="s">
        <v>36</v>
      </c>
      <c r="F102" s="99" t="s">
        <v>119</v>
      </c>
      <c r="G102" s="99" t="s">
        <v>325</v>
      </c>
      <c r="H102" s="100">
        <v>6405.2893147104633</v>
      </c>
      <c r="I102" s="100">
        <v>10398.429595263504</v>
      </c>
      <c r="J102" s="100">
        <f t="shared" si="1"/>
        <v>8401.8594549869831</v>
      </c>
      <c r="K102" s="100">
        <v>5307.2320476056548</v>
      </c>
      <c r="L102" s="100">
        <v>9125.2199826892702</v>
      </c>
      <c r="M102" s="100">
        <v>3629.8510676856449</v>
      </c>
      <c r="N102" s="100">
        <v>6270.4934817494131</v>
      </c>
      <c r="O102" s="100">
        <v>12449.064100498668</v>
      </c>
      <c r="P102" s="100">
        <v>20209.971824170334</v>
      </c>
      <c r="Q102" s="97" t="s">
        <v>738</v>
      </c>
    </row>
    <row r="103" spans="1:17">
      <c r="A103" s="98">
        <v>102</v>
      </c>
      <c r="B103" s="99" t="s">
        <v>490</v>
      </c>
      <c r="C103" s="99" t="s">
        <v>490</v>
      </c>
      <c r="D103" s="99" t="s">
        <v>491</v>
      </c>
      <c r="E103" s="99" t="s">
        <v>36</v>
      </c>
      <c r="F103" s="99" t="s">
        <v>115</v>
      </c>
      <c r="G103" s="99" t="s">
        <v>325</v>
      </c>
      <c r="H103" s="100">
        <v>5425.6936096922182</v>
      </c>
      <c r="I103" s="100">
        <v>8736.2819220739984</v>
      </c>
      <c r="J103" s="100">
        <f t="shared" si="1"/>
        <v>7080.9877658831083</v>
      </c>
      <c r="K103" s="100">
        <v>5167.5970768128882</v>
      </c>
      <c r="L103" s="100">
        <v>8424.8595743042333</v>
      </c>
      <c r="M103" s="100">
        <v>3695.4381632390887</v>
      </c>
      <c r="N103" s="100">
        <v>5762.8190727858746</v>
      </c>
      <c r="O103" s="100">
        <v>10386.442901044386</v>
      </c>
      <c r="P103" s="100">
        <v>16753.260753767645</v>
      </c>
      <c r="Q103" s="97" t="s">
        <v>737</v>
      </c>
    </row>
    <row r="104" spans="1:17">
      <c r="A104" s="98">
        <v>103</v>
      </c>
      <c r="B104" s="99" t="s">
        <v>374</v>
      </c>
      <c r="C104" s="99" t="s">
        <v>374</v>
      </c>
      <c r="D104" s="99" t="s">
        <v>375</v>
      </c>
      <c r="E104" s="99" t="s">
        <v>36</v>
      </c>
      <c r="F104" s="99" t="s">
        <v>114</v>
      </c>
      <c r="G104" s="99" t="s">
        <v>325</v>
      </c>
      <c r="H104" s="100">
        <v>7670.7684813006144</v>
      </c>
      <c r="I104" s="100">
        <v>12131.984290952329</v>
      </c>
      <c r="J104" s="100">
        <f t="shared" si="1"/>
        <v>9901.3763861264706</v>
      </c>
      <c r="K104" s="100">
        <v>7213.3991835913494</v>
      </c>
      <c r="L104" s="100">
        <v>11584.189302814959</v>
      </c>
      <c r="M104" s="100">
        <v>4770.4325424535291</v>
      </c>
      <c r="N104" s="100">
        <v>7483.5384305793332</v>
      </c>
      <c r="O104" s="100">
        <v>15324.201025833489</v>
      </c>
      <c r="P104" s="100">
        <v>24236.550297407099</v>
      </c>
      <c r="Q104" s="97" t="s">
        <v>738</v>
      </c>
    </row>
    <row r="105" spans="1:17">
      <c r="A105" s="98">
        <v>104</v>
      </c>
      <c r="B105" s="99" t="s">
        <v>486</v>
      </c>
      <c r="C105" s="99" t="s">
        <v>486</v>
      </c>
      <c r="D105" s="99" t="s">
        <v>487</v>
      </c>
      <c r="E105" s="99" t="s">
        <v>36</v>
      </c>
      <c r="F105" s="99" t="s">
        <v>114</v>
      </c>
      <c r="G105" s="99" t="s">
        <v>325</v>
      </c>
      <c r="H105" s="100">
        <v>12999.592620367144</v>
      </c>
      <c r="I105" s="100">
        <v>19794.274144344454</v>
      </c>
      <c r="J105" s="100">
        <f t="shared" si="1"/>
        <v>16396.933382355797</v>
      </c>
      <c r="K105" s="100">
        <v>13428.77708399041</v>
      </c>
      <c r="L105" s="100">
        <v>20289.696479823811</v>
      </c>
      <c r="M105" s="100">
        <v>11285.303700530563</v>
      </c>
      <c r="N105" s="100">
        <v>14803.337401329376</v>
      </c>
      <c r="O105" s="100">
        <v>25354.150193821115</v>
      </c>
      <c r="P105" s="100">
        <v>38608.497586767815</v>
      </c>
      <c r="Q105" s="97" t="s">
        <v>737</v>
      </c>
    </row>
    <row r="106" spans="1:17">
      <c r="A106" s="98">
        <v>105</v>
      </c>
      <c r="B106" s="99" t="s">
        <v>616</v>
      </c>
      <c r="C106" s="99" t="s">
        <v>616</v>
      </c>
      <c r="D106" s="99" t="s">
        <v>617</v>
      </c>
      <c r="E106" s="99" t="s">
        <v>36</v>
      </c>
      <c r="F106" s="99" t="s">
        <v>116</v>
      </c>
      <c r="G106" s="99" t="s">
        <v>121</v>
      </c>
      <c r="H106" s="100">
        <v>10893.395300954882</v>
      </c>
      <c r="I106" s="100">
        <v>16719.198342065934</v>
      </c>
      <c r="J106" s="100">
        <f t="shared" si="1"/>
        <v>13806.296821510408</v>
      </c>
      <c r="K106" s="100">
        <v>11131.456356347258</v>
      </c>
      <c r="L106" s="100">
        <v>16990.24824973154</v>
      </c>
      <c r="M106" s="100">
        <v>9174.6663092989256</v>
      </c>
      <c r="N106" s="100">
        <v>12289.293387428674</v>
      </c>
      <c r="O106" s="100">
        <v>21191.836313828615</v>
      </c>
      <c r="P106" s="100">
        <v>32530.856312715085</v>
      </c>
      <c r="Q106" s="97" t="s">
        <v>737</v>
      </c>
    </row>
    <row r="107" spans="1:17">
      <c r="A107" s="98">
        <v>106</v>
      </c>
      <c r="B107" s="99" t="s">
        <v>488</v>
      </c>
      <c r="C107" s="99" t="s">
        <v>488</v>
      </c>
      <c r="D107" s="99" t="s">
        <v>489</v>
      </c>
      <c r="E107" s="99" t="s">
        <v>36</v>
      </c>
      <c r="F107" s="99" t="s">
        <v>114</v>
      </c>
      <c r="G107" s="99" t="s">
        <v>121</v>
      </c>
      <c r="H107" s="100">
        <v>11712.538331944665</v>
      </c>
      <c r="I107" s="100">
        <v>17915.157946603213</v>
      </c>
      <c r="J107" s="100">
        <f t="shared" si="1"/>
        <v>14813.848139273938</v>
      </c>
      <c r="K107" s="100">
        <v>12024.931173095383</v>
      </c>
      <c r="L107" s="100">
        <v>18273.470860871246</v>
      </c>
      <c r="M107" s="100">
        <v>9995.5361746429317</v>
      </c>
      <c r="N107" s="100">
        <v>13267.056303850488</v>
      </c>
      <c r="O107" s="100">
        <v>22810.644948785633</v>
      </c>
      <c r="P107" s="100">
        <v>34894.574777557398</v>
      </c>
      <c r="Q107" s="97" t="s">
        <v>737</v>
      </c>
    </row>
    <row r="108" spans="1:17">
      <c r="A108" s="98">
        <v>107</v>
      </c>
      <c r="B108" s="99" t="s">
        <v>700</v>
      </c>
      <c r="C108" s="99" t="s">
        <v>700</v>
      </c>
      <c r="D108" s="99" t="s">
        <v>701</v>
      </c>
      <c r="E108" s="99" t="s">
        <v>36</v>
      </c>
      <c r="F108" s="99" t="s">
        <v>117</v>
      </c>
      <c r="G108" s="99" t="s">
        <v>121</v>
      </c>
      <c r="H108" s="100">
        <v>10084.979072568865</v>
      </c>
      <c r="I108" s="100">
        <v>13938.855334571615</v>
      </c>
      <c r="J108" s="100">
        <f t="shared" si="1"/>
        <v>12011.91720357024</v>
      </c>
      <c r="K108" s="100">
        <v>10055.579425722022</v>
      </c>
      <c r="L108" s="100">
        <v>13904.662351240133</v>
      </c>
      <c r="M108" s="100">
        <v>9262.2412783153559</v>
      </c>
      <c r="N108" s="100">
        <v>10483.976856486119</v>
      </c>
      <c r="O108" s="100">
        <v>19948.290305122664</v>
      </c>
      <c r="P108" s="100">
        <v>27571.334628889344</v>
      </c>
      <c r="Q108" s="97" t="s">
        <v>738</v>
      </c>
    </row>
    <row r="109" spans="1:17">
      <c r="A109" s="98">
        <v>108</v>
      </c>
      <c r="B109" s="99" t="s">
        <v>492</v>
      </c>
      <c r="C109" s="99" t="s">
        <v>492</v>
      </c>
      <c r="D109" s="99" t="s">
        <v>493</v>
      </c>
      <c r="E109" s="99" t="s">
        <v>36</v>
      </c>
      <c r="F109" s="99" t="s">
        <v>114</v>
      </c>
      <c r="G109" s="99" t="s">
        <v>325</v>
      </c>
      <c r="H109" s="100">
        <v>4442.5610450190898</v>
      </c>
      <c r="I109" s="100">
        <v>7300.8954403829148</v>
      </c>
      <c r="J109" s="100">
        <f t="shared" si="1"/>
        <v>5871.7282427010023</v>
      </c>
      <c r="K109" s="100">
        <v>4095.251766130028</v>
      </c>
      <c r="L109" s="100">
        <v>6884.7403411442456</v>
      </c>
      <c r="M109" s="100">
        <v>2710.2330580898697</v>
      </c>
      <c r="N109" s="100">
        <v>4589.3114833938989</v>
      </c>
      <c r="O109" s="100">
        <v>8443.554510628288</v>
      </c>
      <c r="P109" s="100">
        <v>13916.334223735741</v>
      </c>
      <c r="Q109" s="97" t="s">
        <v>737</v>
      </c>
    </row>
    <row r="110" spans="1:17">
      <c r="A110" s="98">
        <v>109</v>
      </c>
      <c r="B110" s="99" t="s">
        <v>496</v>
      </c>
      <c r="C110" s="99" t="s">
        <v>496</v>
      </c>
      <c r="D110" s="99" t="s">
        <v>497</v>
      </c>
      <c r="E110" s="99" t="s">
        <v>36</v>
      </c>
      <c r="F110" s="99" t="s">
        <v>117</v>
      </c>
      <c r="G110" s="99" t="s">
        <v>325</v>
      </c>
      <c r="H110" s="100">
        <v>7490.7085605149514</v>
      </c>
      <c r="I110" s="100">
        <v>15372.446398720091</v>
      </c>
      <c r="J110" s="100">
        <f t="shared" si="1"/>
        <v>11431.577479617521</v>
      </c>
      <c r="K110" s="100">
        <v>7480.5024180505143</v>
      </c>
      <c r="L110" s="100">
        <v>15360.113500504784</v>
      </c>
      <c r="M110" s="100">
        <v>6907.3603756087487</v>
      </c>
      <c r="N110" s="100">
        <v>12772.790345830797</v>
      </c>
      <c r="O110" s="100">
        <v>14101.483586426211</v>
      </c>
      <c r="P110" s="100">
        <v>28939.091518982532</v>
      </c>
      <c r="Q110" s="97" t="s">
        <v>738</v>
      </c>
    </row>
    <row r="111" spans="1:17">
      <c r="A111" s="98">
        <v>110</v>
      </c>
      <c r="B111" s="99" t="s">
        <v>500</v>
      </c>
      <c r="C111" s="99" t="s">
        <v>500</v>
      </c>
      <c r="D111" s="99" t="s">
        <v>501</v>
      </c>
      <c r="E111" s="99" t="s">
        <v>36</v>
      </c>
      <c r="F111" s="99" t="s">
        <v>119</v>
      </c>
      <c r="G111" s="99" t="s">
        <v>319</v>
      </c>
      <c r="H111" s="100">
        <v>8055.450918523059</v>
      </c>
      <c r="I111" s="100">
        <v>12575.762198550374</v>
      </c>
      <c r="J111" s="100">
        <f t="shared" si="1"/>
        <v>10315.606558536716</v>
      </c>
      <c r="K111" s="100">
        <v>8035.9873831560872</v>
      </c>
      <c r="L111" s="100">
        <v>12544.486932207908</v>
      </c>
      <c r="M111" s="100">
        <v>6330.7392600194826</v>
      </c>
      <c r="N111" s="100">
        <v>8901.8058900906726</v>
      </c>
      <c r="O111" s="100">
        <v>15583.427650133704</v>
      </c>
      <c r="P111" s="100">
        <v>24341.686308004017</v>
      </c>
      <c r="Q111" s="97" t="s">
        <v>737</v>
      </c>
    </row>
    <row r="112" spans="1:17">
      <c r="A112" s="98">
        <v>111</v>
      </c>
      <c r="B112" s="99" t="s">
        <v>702</v>
      </c>
      <c r="C112" s="99" t="s">
        <v>702</v>
      </c>
      <c r="D112" s="99" t="s">
        <v>703</v>
      </c>
      <c r="E112" s="99" t="s">
        <v>36</v>
      </c>
      <c r="F112" s="99" t="s">
        <v>117</v>
      </c>
      <c r="G112" s="99" t="s">
        <v>322</v>
      </c>
      <c r="H112" s="100">
        <v>5611.2164680669639</v>
      </c>
      <c r="I112" s="100">
        <v>9007.1477366392355</v>
      </c>
      <c r="J112" s="100">
        <f t="shared" si="1"/>
        <v>7309.1821023530993</v>
      </c>
      <c r="K112" s="100">
        <v>5369.9549015369466</v>
      </c>
      <c r="L112" s="100">
        <v>8715.4890709161773</v>
      </c>
      <c r="M112" s="100">
        <v>3881.3521221093706</v>
      </c>
      <c r="N112" s="100">
        <v>5984.2668104883087</v>
      </c>
      <c r="O112" s="100">
        <v>10753.077290591786</v>
      </c>
      <c r="P112" s="100">
        <v>17288.605363195424</v>
      </c>
      <c r="Q112" s="97" t="s">
        <v>737</v>
      </c>
    </row>
    <row r="113" spans="1:17">
      <c r="A113" s="98">
        <v>112</v>
      </c>
      <c r="B113" s="99" t="s">
        <v>618</v>
      </c>
      <c r="C113" s="99" t="s">
        <v>618</v>
      </c>
      <c r="D113" s="99" t="s">
        <v>619</v>
      </c>
      <c r="E113" s="99" t="s">
        <v>36</v>
      </c>
      <c r="F113" s="99" t="s">
        <v>116</v>
      </c>
      <c r="G113" s="99" t="s">
        <v>322</v>
      </c>
      <c r="H113" s="100">
        <v>13189.574468379684</v>
      </c>
      <c r="I113" s="100">
        <v>20071.650142457744</v>
      </c>
      <c r="J113" s="100">
        <f t="shared" si="1"/>
        <v>16630.612305418712</v>
      </c>
      <c r="K113" s="100">
        <v>13635.998522025928</v>
      </c>
      <c r="L113" s="100">
        <v>20587.311174514223</v>
      </c>
      <c r="M113" s="100">
        <v>11475.686049028875</v>
      </c>
      <c r="N113" s="100">
        <v>15030.107573023926</v>
      </c>
      <c r="O113" s="100">
        <v>25729.596537637506</v>
      </c>
      <c r="P113" s="100">
        <v>39156.709053072424</v>
      </c>
      <c r="Q113" s="97" t="s">
        <v>737</v>
      </c>
    </row>
    <row r="114" spans="1:17">
      <c r="A114" s="98">
        <v>113</v>
      </c>
      <c r="B114" s="99" t="s">
        <v>704</v>
      </c>
      <c r="C114" s="99" t="s">
        <v>704</v>
      </c>
      <c r="D114" s="99" t="s">
        <v>705</v>
      </c>
      <c r="E114" s="99" t="s">
        <v>36</v>
      </c>
      <c r="F114" s="99" t="s">
        <v>115</v>
      </c>
      <c r="G114" s="99" t="s">
        <v>121</v>
      </c>
      <c r="H114" s="100">
        <v>10174.826618747822</v>
      </c>
      <c r="I114" s="100">
        <v>15670.078610232498</v>
      </c>
      <c r="J114" s="100">
        <f t="shared" si="1"/>
        <v>12922.452614490161</v>
      </c>
      <c r="K114" s="100">
        <v>10347.68234208246</v>
      </c>
      <c r="L114" s="100">
        <v>15864.579659777477</v>
      </c>
      <c r="M114" s="100">
        <v>8454.5828133910072</v>
      </c>
      <c r="N114" s="100">
        <v>11431.580163017539</v>
      </c>
      <c r="O114" s="100">
        <v>19771.784938721466</v>
      </c>
      <c r="P114" s="100">
        <v>30457.355107024632</v>
      </c>
      <c r="Q114" s="97" t="s">
        <v>737</v>
      </c>
    </row>
    <row r="115" spans="1:17">
      <c r="A115" s="98">
        <v>114</v>
      </c>
      <c r="B115" s="99" t="s">
        <v>614</v>
      </c>
      <c r="C115" s="99" t="s">
        <v>614</v>
      </c>
      <c r="D115" s="99" t="s">
        <v>615</v>
      </c>
      <c r="E115" s="99" t="s">
        <v>36</v>
      </c>
      <c r="F115" s="99" t="s">
        <v>118</v>
      </c>
      <c r="G115" s="99" t="s">
        <v>325</v>
      </c>
      <c r="H115" s="100">
        <v>4930.3604014747461</v>
      </c>
      <c r="I115" s="100">
        <v>8872.9232197511192</v>
      </c>
      <c r="J115" s="100">
        <f t="shared" si="1"/>
        <v>6901.6418106129331</v>
      </c>
      <c r="K115" s="100">
        <v>4830.8073883100033</v>
      </c>
      <c r="L115" s="100">
        <v>8750.2566137124741</v>
      </c>
      <c r="M115" s="100">
        <v>2932.9382914835001</v>
      </c>
      <c r="N115" s="100">
        <v>5757.8778739903282</v>
      </c>
      <c r="O115" s="100">
        <v>9556.1231373463834</v>
      </c>
      <c r="P115" s="100">
        <v>17197.677242986014</v>
      </c>
      <c r="Q115" s="97" t="s">
        <v>738</v>
      </c>
    </row>
    <row r="116" spans="1:17">
      <c r="A116" s="98">
        <v>115</v>
      </c>
      <c r="B116" s="99" t="s">
        <v>498</v>
      </c>
      <c r="C116" s="99" t="s">
        <v>498</v>
      </c>
      <c r="D116" s="99" t="s">
        <v>499</v>
      </c>
      <c r="E116" s="99" t="s">
        <v>36</v>
      </c>
      <c r="F116" s="99" t="s">
        <v>119</v>
      </c>
      <c r="G116" s="99" t="s">
        <v>325</v>
      </c>
      <c r="H116" s="100">
        <v>6966.921287556318</v>
      </c>
      <c r="I116" s="100">
        <v>10986.494613126297</v>
      </c>
      <c r="J116" s="100">
        <f t="shared" si="1"/>
        <v>8976.7079503413079</v>
      </c>
      <c r="K116" s="100">
        <v>6848.6809229183209</v>
      </c>
      <c r="L116" s="100">
        <v>10839.258684505819</v>
      </c>
      <c r="M116" s="100">
        <v>5239.9149011587942</v>
      </c>
      <c r="N116" s="100">
        <v>7602.4920141005869</v>
      </c>
      <c r="O116" s="100">
        <v>13432.251238504661</v>
      </c>
      <c r="P116" s="100">
        <v>21200.626089088262</v>
      </c>
      <c r="Q116" s="97" t="s">
        <v>737</v>
      </c>
    </row>
    <row r="117" spans="1:17">
      <c r="A117" s="98">
        <v>116</v>
      </c>
      <c r="B117" s="99" t="s">
        <v>502</v>
      </c>
      <c r="C117" s="99" t="s">
        <v>502</v>
      </c>
      <c r="D117" s="99" t="s">
        <v>503</v>
      </c>
      <c r="E117" s="99" t="s">
        <v>36</v>
      </c>
      <c r="F117" s="99" t="s">
        <v>115</v>
      </c>
      <c r="G117" s="99" t="s">
        <v>121</v>
      </c>
      <c r="H117" s="100">
        <v>9108.9561733396004</v>
      </c>
      <c r="I117" s="100">
        <v>14125.525479417294</v>
      </c>
      <c r="J117" s="100">
        <f t="shared" si="1"/>
        <v>11617.240826378447</v>
      </c>
      <c r="K117" s="100">
        <v>9507.074014202175</v>
      </c>
      <c r="L117" s="100">
        <v>14591.097614870509</v>
      </c>
      <c r="M117" s="100">
        <v>7328.3506056808701</v>
      </c>
      <c r="N117" s="100">
        <v>10156.652088554722</v>
      </c>
      <c r="O117" s="100">
        <v>17675.018558748161</v>
      </c>
      <c r="P117" s="100">
        <v>27409.169640261316</v>
      </c>
      <c r="Q117" s="97" t="s">
        <v>738</v>
      </c>
    </row>
    <row r="118" spans="1:17">
      <c r="A118" s="98">
        <v>117</v>
      </c>
      <c r="B118" s="99" t="s">
        <v>504</v>
      </c>
      <c r="C118" s="99" t="s">
        <v>504</v>
      </c>
      <c r="D118" s="99" t="s">
        <v>505</v>
      </c>
      <c r="E118" s="99" t="s">
        <v>36</v>
      </c>
      <c r="F118" s="99" t="s">
        <v>115</v>
      </c>
      <c r="G118" s="99" t="s">
        <v>121</v>
      </c>
      <c r="H118" s="100">
        <v>17480.491963885732</v>
      </c>
      <c r="I118" s="100">
        <v>25291.499419992244</v>
      </c>
      <c r="J118" s="100">
        <f t="shared" si="1"/>
        <v>21385.995691938988</v>
      </c>
      <c r="K118" s="100">
        <v>18553.91825467379</v>
      </c>
      <c r="L118" s="100">
        <v>26558.607825569528</v>
      </c>
      <c r="M118" s="100">
        <v>17388.82754107373</v>
      </c>
      <c r="N118" s="100">
        <v>20424.508892067031</v>
      </c>
      <c r="O118" s="100">
        <v>34160.377395825497</v>
      </c>
      <c r="P118" s="100">
        <v>49424.648166548839</v>
      </c>
      <c r="Q118" s="97" t="s">
        <v>738</v>
      </c>
    </row>
    <row r="119" spans="1:17">
      <c r="A119" s="98">
        <v>118</v>
      </c>
      <c r="B119" s="99" t="s">
        <v>494</v>
      </c>
      <c r="C119" s="99" t="s">
        <v>494</v>
      </c>
      <c r="D119" s="99" t="s">
        <v>495</v>
      </c>
      <c r="E119" s="99" t="s">
        <v>36</v>
      </c>
      <c r="F119" s="99" t="s">
        <v>115</v>
      </c>
      <c r="G119" s="99" t="s">
        <v>121</v>
      </c>
      <c r="H119" s="100">
        <v>8993.7495543410296</v>
      </c>
      <c r="I119" s="100">
        <v>13849.832097179051</v>
      </c>
      <c r="J119" s="100">
        <f t="shared" si="1"/>
        <v>11421.790825760039</v>
      </c>
      <c r="K119" s="100">
        <v>9360.8586856673119</v>
      </c>
      <c r="L119" s="100">
        <v>14271.498963175944</v>
      </c>
      <c r="M119" s="100">
        <v>6904.1653956682521</v>
      </c>
      <c r="N119" s="100">
        <v>9693.1015038591031</v>
      </c>
      <c r="O119" s="100">
        <v>17375.024764031434</v>
      </c>
      <c r="P119" s="100">
        <v>26756.49062854021</v>
      </c>
      <c r="Q119" s="97" t="s">
        <v>738</v>
      </c>
    </row>
    <row r="120" spans="1:17">
      <c r="A120" s="98">
        <v>119</v>
      </c>
      <c r="B120" s="99" t="s">
        <v>506</v>
      </c>
      <c r="C120" s="99" t="s">
        <v>506</v>
      </c>
      <c r="D120" s="99" t="s">
        <v>507</v>
      </c>
      <c r="E120" s="99" t="s">
        <v>36</v>
      </c>
      <c r="F120" s="99" t="s">
        <v>114</v>
      </c>
      <c r="G120" s="99" t="s">
        <v>121</v>
      </c>
      <c r="H120" s="100">
        <v>10356.000562380328</v>
      </c>
      <c r="I120" s="100">
        <v>15934.594952045696</v>
      </c>
      <c r="J120" s="100">
        <f t="shared" si="1"/>
        <v>13145.297757213011</v>
      </c>
      <c r="K120" s="100">
        <v>10545.296616955793</v>
      </c>
      <c r="L120" s="100">
        <v>16148.396395345218</v>
      </c>
      <c r="M120" s="100">
        <v>8636.1386895775613</v>
      </c>
      <c r="N120" s="100">
        <v>11647.836856664455</v>
      </c>
      <c r="O120" s="100">
        <v>20129.824906451082</v>
      </c>
      <c r="P120" s="100">
        <v>30980.150491604792</v>
      </c>
      <c r="Q120" s="97" t="s">
        <v>737</v>
      </c>
    </row>
    <row r="121" spans="1:17">
      <c r="A121" s="98">
        <v>120</v>
      </c>
      <c r="B121" s="99" t="s">
        <v>756</v>
      </c>
      <c r="C121" s="99" t="s">
        <v>756</v>
      </c>
      <c r="D121" s="99" t="s">
        <v>757</v>
      </c>
      <c r="E121" s="99" t="s">
        <v>36</v>
      </c>
      <c r="F121" s="99" t="s">
        <v>116</v>
      </c>
      <c r="G121" s="99" t="s">
        <v>121</v>
      </c>
      <c r="H121" s="100">
        <v>11408.888953144291</v>
      </c>
      <c r="I121" s="100">
        <v>17471.825857762411</v>
      </c>
      <c r="J121" s="100">
        <f t="shared" si="1"/>
        <v>14440.357405453351</v>
      </c>
      <c r="K121" s="100">
        <v>11693.727631326217</v>
      </c>
      <c r="L121" s="100">
        <v>17797.791115095533</v>
      </c>
      <c r="M121" s="100">
        <v>9691.2466729835287</v>
      </c>
      <c r="N121" s="100">
        <v>12904.607877930559</v>
      </c>
      <c r="O121" s="100">
        <v>22210.566308297864</v>
      </c>
      <c r="P121" s="100">
        <v>34018.364376742436</v>
      </c>
      <c r="Q121" s="97" t="s">
        <v>737</v>
      </c>
    </row>
    <row r="122" spans="1:17">
      <c r="A122" s="98">
        <v>121</v>
      </c>
      <c r="B122" s="99" t="s">
        <v>536</v>
      </c>
      <c r="C122" s="99" t="s">
        <v>536</v>
      </c>
      <c r="D122" s="99" t="s">
        <v>537</v>
      </c>
      <c r="E122" s="99" t="s">
        <v>36</v>
      </c>
      <c r="F122" s="99" t="s">
        <v>117</v>
      </c>
      <c r="G122" s="99" t="s">
        <v>325</v>
      </c>
      <c r="H122" s="100">
        <v>4731.5814669900883</v>
      </c>
      <c r="I122" s="100">
        <v>7726.3007428521587</v>
      </c>
      <c r="J122" s="100">
        <f t="shared" si="1"/>
        <v>6228.941104921123</v>
      </c>
      <c r="K122" s="100">
        <v>4522.0003350551451</v>
      </c>
      <c r="L122" s="100">
        <v>7479.3423879659367</v>
      </c>
      <c r="M122" s="100">
        <v>3026.8307098980881</v>
      </c>
      <c r="N122" s="100">
        <v>4987.826033086696</v>
      </c>
      <c r="O122" s="100">
        <v>8990.3833137985257</v>
      </c>
      <c r="P122" s="100">
        <v>14680.589515478528</v>
      </c>
      <c r="Q122" s="97" t="s">
        <v>738</v>
      </c>
    </row>
    <row r="123" spans="1:17">
      <c r="A123" s="98">
        <v>122</v>
      </c>
      <c r="B123" s="99" t="s">
        <v>706</v>
      </c>
      <c r="C123" s="99" t="s">
        <v>706</v>
      </c>
      <c r="D123" s="99" t="s">
        <v>707</v>
      </c>
      <c r="E123" s="99" t="s">
        <v>36</v>
      </c>
      <c r="F123" s="99" t="s">
        <v>115</v>
      </c>
      <c r="G123" s="99" t="s">
        <v>121</v>
      </c>
      <c r="H123" s="100">
        <v>10174.826618747822</v>
      </c>
      <c r="I123" s="100">
        <v>15670.078610232498</v>
      </c>
      <c r="J123" s="100">
        <f t="shared" si="1"/>
        <v>12922.452614490161</v>
      </c>
      <c r="K123" s="100">
        <v>10347.68234208246</v>
      </c>
      <c r="L123" s="100">
        <v>15864.579659777477</v>
      </c>
      <c r="M123" s="100">
        <v>8454.5828133910072</v>
      </c>
      <c r="N123" s="100">
        <v>11431.580163017539</v>
      </c>
      <c r="O123" s="100">
        <v>19771.784938721466</v>
      </c>
      <c r="P123" s="100">
        <v>30457.355107024632</v>
      </c>
      <c r="Q123" s="97" t="s">
        <v>737</v>
      </c>
    </row>
    <row r="124" spans="1:17">
      <c r="A124" s="98">
        <v>123</v>
      </c>
      <c r="B124" s="99" t="s">
        <v>530</v>
      </c>
      <c r="C124" s="99" t="s">
        <v>530</v>
      </c>
      <c r="D124" s="99" t="s">
        <v>531</v>
      </c>
      <c r="E124" s="99" t="s">
        <v>36</v>
      </c>
      <c r="F124" s="99" t="s">
        <v>115</v>
      </c>
      <c r="G124" s="99" t="s">
        <v>322</v>
      </c>
      <c r="H124" s="100">
        <v>6936.6756974750115</v>
      </c>
      <c r="I124" s="100">
        <v>10244.764650002762</v>
      </c>
      <c r="J124" s="100">
        <f t="shared" si="1"/>
        <v>8590.7201737388859</v>
      </c>
      <c r="K124" s="100">
        <v>7539.4809999246581</v>
      </c>
      <c r="L124" s="100">
        <v>10952.621285097193</v>
      </c>
      <c r="M124" s="100">
        <v>6506.5009888743807</v>
      </c>
      <c r="N124" s="100">
        <v>8014.038945954092</v>
      </c>
      <c r="O124" s="100">
        <v>13810.227646103001</v>
      </c>
      <c r="P124" s="100">
        <v>20396.301941690497</v>
      </c>
      <c r="Q124" s="97" t="s">
        <v>738</v>
      </c>
    </row>
    <row r="125" spans="1:17">
      <c r="A125" s="98">
        <v>124</v>
      </c>
      <c r="B125" s="99" t="s">
        <v>510</v>
      </c>
      <c r="C125" s="99" t="s">
        <v>510</v>
      </c>
      <c r="D125" s="99" t="s">
        <v>511</v>
      </c>
      <c r="E125" s="99" t="s">
        <v>36</v>
      </c>
      <c r="F125" s="99" t="s">
        <v>119</v>
      </c>
      <c r="G125" s="99" t="s">
        <v>319</v>
      </c>
      <c r="H125" s="100">
        <v>5677.3602918326778</v>
      </c>
      <c r="I125" s="100">
        <v>9103.7185897390227</v>
      </c>
      <c r="J125" s="100">
        <f t="shared" si="1"/>
        <v>7390.5394407858503</v>
      </c>
      <c r="K125" s="100">
        <v>5442.1008376949858</v>
      </c>
      <c r="L125" s="100">
        <v>8819.106201297971</v>
      </c>
      <c r="M125" s="100">
        <v>3947.6353835836135</v>
      </c>
      <c r="N125" s="100">
        <v>6063.2188073701109</v>
      </c>
      <c r="O125" s="100">
        <v>10883.792182875779</v>
      </c>
      <c r="P125" s="100">
        <v>17479.469927325794</v>
      </c>
      <c r="Q125" s="97" t="s">
        <v>737</v>
      </c>
    </row>
    <row r="126" spans="1:17">
      <c r="A126" s="98">
        <v>125</v>
      </c>
      <c r="B126" s="99" t="s">
        <v>516</v>
      </c>
      <c r="C126" s="99" t="s">
        <v>516</v>
      </c>
      <c r="D126" s="99" t="s">
        <v>517</v>
      </c>
      <c r="E126" s="99" t="s">
        <v>36</v>
      </c>
      <c r="F126" s="99" t="s">
        <v>118</v>
      </c>
      <c r="G126" s="99" t="s">
        <v>322</v>
      </c>
      <c r="H126" s="100">
        <v>8716.3460533778416</v>
      </c>
      <c r="I126" s="100">
        <v>13540.677792309963</v>
      </c>
      <c r="J126" s="100">
        <f t="shared" si="1"/>
        <v>11128.511922843903</v>
      </c>
      <c r="K126" s="100">
        <v>8756.8543589644541</v>
      </c>
      <c r="L126" s="100">
        <v>13579.807442245259</v>
      </c>
      <c r="M126" s="100">
        <v>6993.0276270452414</v>
      </c>
      <c r="N126" s="100">
        <v>9690.6775889975015</v>
      </c>
      <c r="O126" s="100">
        <v>16889.503281163947</v>
      </c>
      <c r="P126" s="100">
        <v>26248.76477230238</v>
      </c>
      <c r="Q126" s="97" t="s">
        <v>737</v>
      </c>
    </row>
    <row r="127" spans="1:17">
      <c r="A127" s="98">
        <v>126</v>
      </c>
      <c r="B127" s="99" t="s">
        <v>526</v>
      </c>
      <c r="C127" s="99" t="s">
        <v>526</v>
      </c>
      <c r="D127" s="99" t="s">
        <v>527</v>
      </c>
      <c r="E127" s="99" t="s">
        <v>36</v>
      </c>
      <c r="F127" s="99" t="s">
        <v>116</v>
      </c>
      <c r="G127" s="99" t="s">
        <v>322</v>
      </c>
      <c r="H127" s="100">
        <v>9020.6980776945511</v>
      </c>
      <c r="I127" s="100">
        <v>13935.12644684402</v>
      </c>
      <c r="J127" s="100">
        <f t="shared" si="1"/>
        <v>11477.912262269285</v>
      </c>
      <c r="K127" s="100">
        <v>9001.1602307282628</v>
      </c>
      <c r="L127" s="100">
        <v>13911.949445472063</v>
      </c>
      <c r="M127" s="100">
        <v>6719.8262596076929</v>
      </c>
      <c r="N127" s="100">
        <v>9494.0768830855995</v>
      </c>
      <c r="O127" s="100">
        <v>17747.321398056258</v>
      </c>
      <c r="P127" s="100">
        <v>27415.967771520925</v>
      </c>
      <c r="Q127" s="97" t="s">
        <v>738</v>
      </c>
    </row>
    <row r="128" spans="1:17">
      <c r="A128" s="98">
        <v>127</v>
      </c>
      <c r="B128" s="99" t="s">
        <v>758</v>
      </c>
      <c r="C128" s="99" t="s">
        <v>758</v>
      </c>
      <c r="D128" s="99" t="s">
        <v>759</v>
      </c>
      <c r="E128" s="99" t="s">
        <v>36</v>
      </c>
      <c r="F128" s="99" t="s">
        <v>114</v>
      </c>
      <c r="G128" s="99" t="s">
        <v>322</v>
      </c>
      <c r="H128" s="100">
        <v>15704.876467490756</v>
      </c>
      <c r="I128" s="100">
        <v>23744.024160599423</v>
      </c>
      <c r="J128" s="100">
        <f t="shared" si="1"/>
        <v>19724.450314045091</v>
      </c>
      <c r="K128" s="100">
        <v>16379.547460001315</v>
      </c>
      <c r="L128" s="100">
        <v>24527.639391924764</v>
      </c>
      <c r="M128" s="100">
        <v>13996.290553000503</v>
      </c>
      <c r="N128" s="100">
        <v>18032.475810669515</v>
      </c>
      <c r="O128" s="100">
        <v>30700.392163849025</v>
      </c>
      <c r="P128" s="100">
        <v>46414.86245855235</v>
      </c>
      <c r="Q128" s="97" t="s">
        <v>737</v>
      </c>
    </row>
    <row r="129" spans="1:17">
      <c r="A129" s="98">
        <v>128</v>
      </c>
      <c r="B129" s="99" t="s">
        <v>760</v>
      </c>
      <c r="C129" s="99" t="s">
        <v>760</v>
      </c>
      <c r="D129" s="99" t="s">
        <v>509</v>
      </c>
      <c r="E129" s="99" t="s">
        <v>36</v>
      </c>
      <c r="F129" s="99" t="s">
        <v>115</v>
      </c>
      <c r="G129" s="99" t="s">
        <v>322</v>
      </c>
      <c r="H129" s="100">
        <v>5151.0267534232362</v>
      </c>
      <c r="I129" s="100">
        <v>7595.8270210580922</v>
      </c>
      <c r="J129" s="100">
        <f t="shared" si="1"/>
        <v>6373.4268872406647</v>
      </c>
      <c r="K129" s="100">
        <v>5607.5513785154444</v>
      </c>
      <c r="L129" s="100">
        <v>8133.1067266021209</v>
      </c>
      <c r="M129" s="100">
        <v>4009.2112263715994</v>
      </c>
      <c r="N129" s="100">
        <v>5258.4333102812361</v>
      </c>
      <c r="O129" s="100">
        <v>9558.7603463274991</v>
      </c>
      <c r="P129" s="100">
        <v>14095.576202977501</v>
      </c>
      <c r="Q129" s="97" t="s">
        <v>738</v>
      </c>
    </row>
    <row r="130" spans="1:17">
      <c r="A130" s="98">
        <v>129</v>
      </c>
      <c r="B130" s="99" t="s">
        <v>518</v>
      </c>
      <c r="C130" s="99" t="s">
        <v>518</v>
      </c>
      <c r="D130" s="99" t="s">
        <v>519</v>
      </c>
      <c r="E130" s="99" t="s">
        <v>36</v>
      </c>
      <c r="F130" s="99" t="s">
        <v>119</v>
      </c>
      <c r="G130" s="99" t="s">
        <v>319</v>
      </c>
      <c r="H130" s="100">
        <v>6356.2097552797068</v>
      </c>
      <c r="I130" s="100">
        <v>10094.847739508445</v>
      </c>
      <c r="J130" s="100">
        <f t="shared" si="1"/>
        <v>8225.5287473940753</v>
      </c>
      <c r="K130" s="100">
        <v>6182.5513780847541</v>
      </c>
      <c r="L130" s="100">
        <v>9882.5529353838429</v>
      </c>
      <c r="M130" s="100">
        <v>4627.9159286982858</v>
      </c>
      <c r="N130" s="100">
        <v>6873.5215336099063</v>
      </c>
      <c r="O130" s="100">
        <v>12225.349556483829</v>
      </c>
      <c r="P130" s="100">
        <v>19438.357387625823</v>
      </c>
      <c r="Q130" s="97" t="s">
        <v>737</v>
      </c>
    </row>
    <row r="131" spans="1:17">
      <c r="A131" s="98">
        <v>130</v>
      </c>
      <c r="B131" s="99" t="s">
        <v>520</v>
      </c>
      <c r="C131" s="99" t="s">
        <v>520</v>
      </c>
      <c r="D131" s="99" t="s">
        <v>521</v>
      </c>
      <c r="E131" s="99" t="s">
        <v>36</v>
      </c>
      <c r="F131" s="99" t="s">
        <v>117</v>
      </c>
      <c r="G131" s="99" t="s">
        <v>121</v>
      </c>
      <c r="H131" s="100">
        <v>10644.938199553386</v>
      </c>
      <c r="I131" s="100">
        <v>16038.900273303027</v>
      </c>
      <c r="J131" s="100">
        <f t="shared" ref="J131:J194" si="2">IF(H131=0,I131,AVERAGE(H131:I131))</f>
        <v>13341.919236428206</v>
      </c>
      <c r="K131" s="100">
        <v>11265.922557437269</v>
      </c>
      <c r="L131" s="100">
        <v>16775.634945941001</v>
      </c>
      <c r="M131" s="100">
        <v>9912.1260093750352</v>
      </c>
      <c r="N131" s="100">
        <v>12492.085210287301</v>
      </c>
      <c r="O131" s="100">
        <v>20979.044203679812</v>
      </c>
      <c r="P131" s="100">
        <v>31609.464658625606</v>
      </c>
      <c r="Q131" s="97" t="s">
        <v>738</v>
      </c>
    </row>
    <row r="132" spans="1:17">
      <c r="A132" s="98">
        <v>131</v>
      </c>
      <c r="B132" s="99" t="s">
        <v>540</v>
      </c>
      <c r="C132" s="99" t="s">
        <v>540</v>
      </c>
      <c r="D132" s="99" t="s">
        <v>541</v>
      </c>
      <c r="E132" s="99" t="s">
        <v>36</v>
      </c>
      <c r="F132" s="99" t="s">
        <v>114</v>
      </c>
      <c r="G132" s="99" t="s">
        <v>325</v>
      </c>
      <c r="H132" s="100">
        <v>4614.9855806828491</v>
      </c>
      <c r="I132" s="100">
        <v>7552.6375314262632</v>
      </c>
      <c r="J132" s="100">
        <f t="shared" si="2"/>
        <v>6083.8115560545557</v>
      </c>
      <c r="K132" s="100">
        <v>4283.3226824129988</v>
      </c>
      <c r="L132" s="100">
        <v>7154.8507547208001</v>
      </c>
      <c r="M132" s="100">
        <v>2883.021081692159</v>
      </c>
      <c r="N132" s="100">
        <v>4795.1245227230193</v>
      </c>
      <c r="O132" s="100">
        <v>8784.303704177164</v>
      </c>
      <c r="P132" s="100">
        <v>14413.882323788339</v>
      </c>
      <c r="Q132" s="97" t="s">
        <v>737</v>
      </c>
    </row>
    <row r="133" spans="1:17">
      <c r="A133" s="98">
        <v>132</v>
      </c>
      <c r="B133" s="99" t="s">
        <v>534</v>
      </c>
      <c r="C133" s="99" t="s">
        <v>534</v>
      </c>
      <c r="D133" s="99" t="s">
        <v>535</v>
      </c>
      <c r="E133" s="99" t="s">
        <v>36</v>
      </c>
      <c r="F133" s="99" t="s">
        <v>115</v>
      </c>
      <c r="G133" s="99" t="s">
        <v>322</v>
      </c>
      <c r="H133" s="100">
        <v>9018.3142163206521</v>
      </c>
      <c r="I133" s="100">
        <v>13423.632909992364</v>
      </c>
      <c r="J133" s="100">
        <f t="shared" si="2"/>
        <v>11220.973563156509</v>
      </c>
      <c r="K133" s="100">
        <v>9314.5761998464441</v>
      </c>
      <c r="L133" s="100">
        <v>13767.889827890298</v>
      </c>
      <c r="M133" s="100">
        <v>7852.4444753019079</v>
      </c>
      <c r="N133" s="100">
        <v>10006.335255424852</v>
      </c>
      <c r="O133" s="100">
        <v>16661.155148368078</v>
      </c>
      <c r="P133" s="100">
        <v>24799.893328552695</v>
      </c>
      <c r="Q133" s="97" t="s">
        <v>738</v>
      </c>
    </row>
    <row r="134" spans="1:17">
      <c r="A134" s="98">
        <v>133</v>
      </c>
      <c r="B134" s="99" t="s">
        <v>532</v>
      </c>
      <c r="C134" s="99" t="s">
        <v>532</v>
      </c>
      <c r="D134" s="99" t="s">
        <v>533</v>
      </c>
      <c r="E134" s="99" t="s">
        <v>36</v>
      </c>
      <c r="F134" s="99" t="s">
        <v>114</v>
      </c>
      <c r="G134" s="99" t="s">
        <v>325</v>
      </c>
      <c r="H134" s="100">
        <v>8458.5453713817751</v>
      </c>
      <c r="I134" s="100">
        <v>12888.245180294058</v>
      </c>
      <c r="J134" s="100">
        <f t="shared" si="2"/>
        <v>10673.395275837916</v>
      </c>
      <c r="K134" s="100">
        <v>7682.9603798068947</v>
      </c>
      <c r="L134" s="100">
        <v>11965.550486508879</v>
      </c>
      <c r="M134" s="100">
        <v>5960.8820874973489</v>
      </c>
      <c r="N134" s="100">
        <v>8356.205068272644</v>
      </c>
      <c r="O134" s="100">
        <v>16391.815075200739</v>
      </c>
      <c r="P134" s="100">
        <v>24976.130334891855</v>
      </c>
      <c r="Q134" s="97" t="s">
        <v>738</v>
      </c>
    </row>
    <row r="135" spans="1:17">
      <c r="A135" s="98">
        <v>134</v>
      </c>
      <c r="B135" s="99" t="s">
        <v>761</v>
      </c>
      <c r="C135" s="99" t="s">
        <v>761</v>
      </c>
      <c r="D135" s="99" t="s">
        <v>762</v>
      </c>
      <c r="E135" s="99" t="s">
        <v>36</v>
      </c>
      <c r="F135" s="99" t="s">
        <v>114</v>
      </c>
      <c r="G135" s="99" t="s">
        <v>121</v>
      </c>
      <c r="H135" s="100">
        <v>8909.6044127128171</v>
      </c>
      <c r="I135" s="100">
        <v>13822.837540070383</v>
      </c>
      <c r="J135" s="100">
        <f t="shared" si="2"/>
        <v>11366.2209763916</v>
      </c>
      <c r="K135" s="100">
        <v>8967.6496299481059</v>
      </c>
      <c r="L135" s="100">
        <v>13882.55493213204</v>
      </c>
      <c r="M135" s="100">
        <v>7186.6933940752297</v>
      </c>
      <c r="N135" s="100">
        <v>9921.358739782534</v>
      </c>
      <c r="O135" s="100">
        <v>17271.42473936285</v>
      </c>
      <c r="P135" s="100">
        <v>26806.430937017532</v>
      </c>
      <c r="Q135" s="97" t="s">
        <v>737</v>
      </c>
    </row>
    <row r="136" spans="1:17">
      <c r="A136" s="98">
        <v>135</v>
      </c>
      <c r="B136" s="99" t="s">
        <v>538</v>
      </c>
      <c r="C136" s="99" t="s">
        <v>538</v>
      </c>
      <c r="D136" s="99" t="s">
        <v>539</v>
      </c>
      <c r="E136" s="99" t="s">
        <v>36</v>
      </c>
      <c r="F136" s="99" t="s">
        <v>119</v>
      </c>
      <c r="G136" s="99" t="s">
        <v>319</v>
      </c>
      <c r="H136" s="100">
        <v>7161.1411254347813</v>
      </c>
      <c r="I136" s="100">
        <v>11270.058132212524</v>
      </c>
      <c r="J136" s="100">
        <f t="shared" si="2"/>
        <v>9215.5996288236529</v>
      </c>
      <c r="K136" s="100">
        <v>7060.5249202329678</v>
      </c>
      <c r="L136" s="100">
        <v>11143.512371674942</v>
      </c>
      <c r="M136" s="100">
        <v>5434.5441736239327</v>
      </c>
      <c r="N136" s="100">
        <v>7834.3208253419625</v>
      </c>
      <c r="O136" s="100">
        <v>13816.072791936802</v>
      </c>
      <c r="P136" s="100">
        <v>21761.066695507499</v>
      </c>
      <c r="Q136" s="97" t="s">
        <v>737</v>
      </c>
    </row>
    <row r="137" spans="1:17">
      <c r="A137" s="98">
        <v>136</v>
      </c>
      <c r="B137" s="99" t="s">
        <v>522</v>
      </c>
      <c r="C137" s="99" t="s">
        <v>522</v>
      </c>
      <c r="D137" s="99" t="s">
        <v>523</v>
      </c>
      <c r="E137" s="99" t="s">
        <v>36</v>
      </c>
      <c r="F137" s="99" t="s">
        <v>119</v>
      </c>
      <c r="G137" s="99" t="s">
        <v>325</v>
      </c>
      <c r="H137" s="100">
        <v>6308.5301806178886</v>
      </c>
      <c r="I137" s="100">
        <v>10025.234933075664</v>
      </c>
      <c r="J137" s="100">
        <f t="shared" si="2"/>
        <v>8166.8825568467764</v>
      </c>
      <c r="K137" s="100">
        <v>6130.5451989170924</v>
      </c>
      <c r="L137" s="100">
        <v>9807.8608413527927</v>
      </c>
      <c r="M137" s="100">
        <v>4580.1358407873695</v>
      </c>
      <c r="N137" s="100">
        <v>6816.6092262210977</v>
      </c>
      <c r="O137" s="100">
        <v>12131.124123008109</v>
      </c>
      <c r="P137" s="100">
        <v>19300.773245711331</v>
      </c>
      <c r="Q137" s="97" t="s">
        <v>737</v>
      </c>
    </row>
    <row r="138" spans="1:17">
      <c r="A138" s="98">
        <v>137</v>
      </c>
      <c r="B138" s="99" t="s">
        <v>524</v>
      </c>
      <c r="C138" s="99" t="s">
        <v>524</v>
      </c>
      <c r="D138" s="99" t="s">
        <v>525</v>
      </c>
      <c r="E138" s="99" t="s">
        <v>36</v>
      </c>
      <c r="F138" s="99" t="s">
        <v>119</v>
      </c>
      <c r="G138" s="99" t="s">
        <v>322</v>
      </c>
      <c r="H138" s="100">
        <v>6037.0108526468912</v>
      </c>
      <c r="I138" s="100">
        <v>9179.9855649660785</v>
      </c>
      <c r="J138" s="100">
        <f t="shared" si="2"/>
        <v>7608.4982088064844</v>
      </c>
      <c r="K138" s="100">
        <v>6550.1548991395812</v>
      </c>
      <c r="L138" s="100">
        <v>9808.1243076997216</v>
      </c>
      <c r="M138" s="100">
        <v>5436.7632112177043</v>
      </c>
      <c r="N138" s="100">
        <v>6995.0936606119449</v>
      </c>
      <c r="O138" s="100">
        <v>11692.361879189446</v>
      </c>
      <c r="P138" s="100">
        <v>17779.612442515001</v>
      </c>
      <c r="Q138" s="97" t="s">
        <v>738</v>
      </c>
    </row>
    <row r="139" spans="1:17">
      <c r="A139" s="98">
        <v>138</v>
      </c>
      <c r="B139" s="99" t="s">
        <v>512</v>
      </c>
      <c r="C139" s="99" t="s">
        <v>512</v>
      </c>
      <c r="D139" s="99" t="s">
        <v>513</v>
      </c>
      <c r="E139" s="99" t="s">
        <v>36</v>
      </c>
      <c r="F139" s="99" t="s">
        <v>119</v>
      </c>
      <c r="G139" s="99" t="s">
        <v>319</v>
      </c>
      <c r="H139" s="100">
        <v>7066.4168863227987</v>
      </c>
      <c r="I139" s="100">
        <v>11131.759496610905</v>
      </c>
      <c r="J139" s="100">
        <f t="shared" si="2"/>
        <v>9099.0881914668516</v>
      </c>
      <c r="K139" s="100">
        <v>6957.2050859911742</v>
      </c>
      <c r="L139" s="100">
        <v>10995.122797628726</v>
      </c>
      <c r="M139" s="100">
        <v>5339.6202464671424</v>
      </c>
      <c r="N139" s="100">
        <v>7721.2540655868825</v>
      </c>
      <c r="O139" s="100">
        <v>13628.876648634541</v>
      </c>
      <c r="P139" s="100">
        <v>21487.730508069526</v>
      </c>
      <c r="Q139" s="97" t="s">
        <v>737</v>
      </c>
    </row>
    <row r="140" spans="1:17">
      <c r="A140" s="98">
        <v>139</v>
      </c>
      <c r="B140" s="99" t="s">
        <v>514</v>
      </c>
      <c r="C140" s="99" t="s">
        <v>514</v>
      </c>
      <c r="D140" s="99" t="s">
        <v>515</v>
      </c>
      <c r="E140" s="99" t="s">
        <v>36</v>
      </c>
      <c r="F140" s="99" t="s">
        <v>114</v>
      </c>
      <c r="G140" s="99" t="s">
        <v>322</v>
      </c>
      <c r="H140" s="100">
        <v>5781.1186482081675</v>
      </c>
      <c r="I140" s="100">
        <v>8714.6792631556782</v>
      </c>
      <c r="J140" s="100">
        <f t="shared" si="2"/>
        <v>7247.8989556819233</v>
      </c>
      <c r="K140" s="100">
        <v>5865.0909208298872</v>
      </c>
      <c r="L140" s="100">
        <v>8813.134965739051</v>
      </c>
      <c r="M140" s="100">
        <v>3855.9066711916298</v>
      </c>
      <c r="N140" s="100">
        <v>5517.4729111514162</v>
      </c>
      <c r="O140" s="100">
        <v>11352.440500672859</v>
      </c>
      <c r="P140" s="100">
        <v>17113.102815851431</v>
      </c>
      <c r="Q140" s="97" t="s">
        <v>738</v>
      </c>
    </row>
    <row r="141" spans="1:17">
      <c r="A141" s="98">
        <v>140</v>
      </c>
      <c r="B141" s="99" t="s">
        <v>542</v>
      </c>
      <c r="C141" s="99" t="s">
        <v>542</v>
      </c>
      <c r="D141" s="99" t="s">
        <v>543</v>
      </c>
      <c r="E141" s="99" t="s">
        <v>36</v>
      </c>
      <c r="F141" s="99" t="s">
        <v>119</v>
      </c>
      <c r="G141" s="99" t="s">
        <v>322</v>
      </c>
      <c r="H141" s="100">
        <v>7612.9570556593117</v>
      </c>
      <c r="I141" s="100">
        <v>9161.6506877728225</v>
      </c>
      <c r="J141" s="100">
        <f t="shared" si="2"/>
        <v>8387.3038717160671</v>
      </c>
      <c r="K141" s="100">
        <v>6665.3438396883312</v>
      </c>
      <c r="L141" s="100">
        <v>8014.8216713563334</v>
      </c>
      <c r="M141" s="100">
        <v>5442.2761473547753</v>
      </c>
      <c r="N141" s="100">
        <v>5098.6142986925206</v>
      </c>
      <c r="O141" s="100">
        <v>13704.23625503344</v>
      </c>
      <c r="P141" s="100">
        <v>16492.070636073611</v>
      </c>
      <c r="Q141" s="97" t="s">
        <v>738</v>
      </c>
    </row>
    <row r="142" spans="1:17">
      <c r="A142" s="98">
        <v>141</v>
      </c>
      <c r="B142" s="99" t="s">
        <v>708</v>
      </c>
      <c r="C142" s="99" t="s">
        <v>708</v>
      </c>
      <c r="D142" s="99" t="s">
        <v>709</v>
      </c>
      <c r="E142" s="99" t="s">
        <v>36</v>
      </c>
      <c r="F142" s="99" t="s">
        <v>114</v>
      </c>
      <c r="G142" s="99" t="s">
        <v>121</v>
      </c>
      <c r="H142" s="100">
        <v>8909.6044127128171</v>
      </c>
      <c r="I142" s="100">
        <v>13822.837540070383</v>
      </c>
      <c r="J142" s="100">
        <f t="shared" si="2"/>
        <v>11366.2209763916</v>
      </c>
      <c r="K142" s="100">
        <v>8967.6496299481059</v>
      </c>
      <c r="L142" s="100">
        <v>13882.55493213204</v>
      </c>
      <c r="M142" s="100">
        <v>7186.6933940752297</v>
      </c>
      <c r="N142" s="100">
        <v>9921.358739782534</v>
      </c>
      <c r="O142" s="100">
        <v>17271.42473936285</v>
      </c>
      <c r="P142" s="100">
        <v>26806.430937017532</v>
      </c>
      <c r="Q142" s="97" t="s">
        <v>737</v>
      </c>
    </row>
    <row r="143" spans="1:17">
      <c r="A143" s="98">
        <v>142</v>
      </c>
      <c r="B143" s="99" t="s">
        <v>552</v>
      </c>
      <c r="C143" s="99" t="s">
        <v>552</v>
      </c>
      <c r="D143" s="99" t="s">
        <v>553</v>
      </c>
      <c r="E143" s="99" t="s">
        <v>36</v>
      </c>
      <c r="F143" s="99" t="s">
        <v>119</v>
      </c>
      <c r="G143" s="99" t="s">
        <v>319</v>
      </c>
      <c r="H143" s="100">
        <v>7347.9159203877716</v>
      </c>
      <c r="I143" s="100">
        <v>11542.751790656523</v>
      </c>
      <c r="J143" s="100">
        <f t="shared" si="2"/>
        <v>9445.3338555221471</v>
      </c>
      <c r="K143" s="100">
        <v>7264.2482864589492</v>
      </c>
      <c r="L143" s="100">
        <v>11436.103080510076</v>
      </c>
      <c r="M143" s="100">
        <v>5621.7127082783254</v>
      </c>
      <c r="N143" s="100">
        <v>8057.2629261941884</v>
      </c>
      <c r="O143" s="100">
        <v>14185.181286331108</v>
      </c>
      <c r="P143" s="100">
        <v>22300.023892108529</v>
      </c>
      <c r="Q143" s="97" t="s">
        <v>737</v>
      </c>
    </row>
    <row r="144" spans="1:17">
      <c r="A144" s="98">
        <v>143</v>
      </c>
      <c r="B144" s="99" t="s">
        <v>554</v>
      </c>
      <c r="C144" s="99" t="s">
        <v>554</v>
      </c>
      <c r="D144" s="99" t="s">
        <v>555</v>
      </c>
      <c r="E144" s="99" t="s">
        <v>36</v>
      </c>
      <c r="F144" s="99" t="s">
        <v>119</v>
      </c>
      <c r="G144" s="99" t="s">
        <v>325</v>
      </c>
      <c r="H144" s="100">
        <v>7007.3779534957512</v>
      </c>
      <c r="I144" s="100">
        <v>11045.561877776472</v>
      </c>
      <c r="J144" s="100">
        <f t="shared" si="2"/>
        <v>9026.4699156361112</v>
      </c>
      <c r="K144" s="100">
        <v>6892.8087624029567</v>
      </c>
      <c r="L144" s="100">
        <v>10902.635782937672</v>
      </c>
      <c r="M144" s="100">
        <v>5280.4568537428777</v>
      </c>
      <c r="N144" s="100">
        <v>7650.782759649439</v>
      </c>
      <c r="O144" s="100">
        <v>13512.202599483942</v>
      </c>
      <c r="P144" s="100">
        <v>21317.367811460539</v>
      </c>
      <c r="Q144" s="97" t="s">
        <v>763</v>
      </c>
    </row>
    <row r="145" spans="1:17">
      <c r="A145" s="98">
        <v>144</v>
      </c>
      <c r="B145" s="99" t="s">
        <v>550</v>
      </c>
      <c r="C145" s="99" t="s">
        <v>550</v>
      </c>
      <c r="D145" s="99" t="s">
        <v>551</v>
      </c>
      <c r="E145" s="99" t="s">
        <v>36</v>
      </c>
      <c r="F145" s="99" t="s">
        <v>116</v>
      </c>
      <c r="G145" s="99" t="s">
        <v>325</v>
      </c>
      <c r="H145" s="100">
        <v>6307.5224823476856</v>
      </c>
      <c r="I145" s="100">
        <v>10023.763680340633</v>
      </c>
      <c r="J145" s="100">
        <f t="shared" si="2"/>
        <v>8165.6430813441593</v>
      </c>
      <c r="K145" s="100">
        <v>6129.4460587263748</v>
      </c>
      <c r="L145" s="100">
        <v>9806.2822388906934</v>
      </c>
      <c r="M145" s="100">
        <v>4579.1260181897587</v>
      </c>
      <c r="N145" s="100">
        <v>6815.4063959921004</v>
      </c>
      <c r="O145" s="100">
        <v>12129.1326873253</v>
      </c>
      <c r="P145" s="100">
        <v>19297.865432401373</v>
      </c>
      <c r="Q145" s="97" t="s">
        <v>737</v>
      </c>
    </row>
    <row r="146" spans="1:17">
      <c r="A146" s="98">
        <v>145</v>
      </c>
      <c r="B146" s="99" t="s">
        <v>546</v>
      </c>
      <c r="C146" s="99" t="s">
        <v>546</v>
      </c>
      <c r="D146" s="99" t="s">
        <v>547</v>
      </c>
      <c r="E146" s="99" t="s">
        <v>36</v>
      </c>
      <c r="F146" s="99" t="s">
        <v>115</v>
      </c>
      <c r="G146" s="99" t="s">
        <v>121</v>
      </c>
      <c r="H146" s="100">
        <v>14103.224767001702</v>
      </c>
      <c r="I146" s="100">
        <v>21562.722911874509</v>
      </c>
      <c r="J146" s="100">
        <f t="shared" si="2"/>
        <v>17832.973839438106</v>
      </c>
      <c r="K146" s="100">
        <v>14585.714471682963</v>
      </c>
      <c r="L146" s="100">
        <v>22128.237881500358</v>
      </c>
      <c r="M146" s="100">
        <v>13470.721456973137</v>
      </c>
      <c r="N146" s="100">
        <v>17169.205772417827</v>
      </c>
      <c r="O146" s="100">
        <v>27710.016022204942</v>
      </c>
      <c r="P146" s="100">
        <v>42366.437977251037</v>
      </c>
      <c r="Q146" s="97" t="s">
        <v>738</v>
      </c>
    </row>
    <row r="147" spans="1:17">
      <c r="A147" s="98">
        <v>146</v>
      </c>
      <c r="B147" s="99" t="s">
        <v>556</v>
      </c>
      <c r="C147" s="99" t="s">
        <v>556</v>
      </c>
      <c r="D147" s="99" t="s">
        <v>557</v>
      </c>
      <c r="E147" s="99" t="s">
        <v>36</v>
      </c>
      <c r="F147" s="99" t="s">
        <v>115</v>
      </c>
      <c r="G147" s="99" t="s">
        <v>121</v>
      </c>
      <c r="H147" s="100">
        <v>16299.559941148787</v>
      </c>
      <c r="I147" s="100">
        <v>24050.816431495161</v>
      </c>
      <c r="J147" s="100">
        <f t="shared" si="2"/>
        <v>20175.188186321975</v>
      </c>
      <c r="K147" s="100">
        <v>16963.489958223206</v>
      </c>
      <c r="L147" s="100">
        <v>24836.651033559567</v>
      </c>
      <c r="M147" s="100">
        <v>13782.737961637204</v>
      </c>
      <c r="N147" s="100">
        <v>17458.903943306341</v>
      </c>
      <c r="O147" s="100">
        <v>32072.64409619847</v>
      </c>
      <c r="P147" s="100">
        <v>47324.791492253025</v>
      </c>
      <c r="Q147" s="97" t="s">
        <v>738</v>
      </c>
    </row>
    <row r="148" spans="1:17">
      <c r="A148" s="98">
        <v>147</v>
      </c>
      <c r="B148" s="99" t="s">
        <v>544</v>
      </c>
      <c r="C148" s="99" t="s">
        <v>544</v>
      </c>
      <c r="D148" s="99" t="s">
        <v>545</v>
      </c>
      <c r="E148" s="99" t="s">
        <v>36</v>
      </c>
      <c r="F148" s="99" t="s">
        <v>118</v>
      </c>
      <c r="G148" s="99" t="s">
        <v>325</v>
      </c>
      <c r="H148" s="100">
        <v>3175.5489626854901</v>
      </c>
      <c r="I148" s="100">
        <v>4781.1556551852555</v>
      </c>
      <c r="J148" s="100">
        <f t="shared" si="2"/>
        <v>3978.352308935373</v>
      </c>
      <c r="K148" s="100">
        <v>3293.8666182090437</v>
      </c>
      <c r="L148" s="100">
        <v>4924.9630336611835</v>
      </c>
      <c r="M148" s="100">
        <v>2128.6258059473716</v>
      </c>
      <c r="N148" s="100">
        <v>3009.404542182403</v>
      </c>
      <c r="O148" s="100">
        <v>6004.2327121768449</v>
      </c>
      <c r="P148" s="100">
        <v>9040.065678154624</v>
      </c>
      <c r="Q148" s="97" t="s">
        <v>738</v>
      </c>
    </row>
    <row r="149" spans="1:17">
      <c r="A149" s="98">
        <v>148</v>
      </c>
      <c r="B149" s="99" t="s">
        <v>764</v>
      </c>
      <c r="C149" s="99" t="s">
        <v>764</v>
      </c>
      <c r="D149" s="99" t="s">
        <v>765</v>
      </c>
      <c r="E149" s="99" t="s">
        <v>36</v>
      </c>
      <c r="F149" s="99" t="s">
        <v>114</v>
      </c>
      <c r="G149" s="99" t="s">
        <v>121</v>
      </c>
      <c r="H149" s="100">
        <v>16415.165385049848</v>
      </c>
      <c r="I149" s="100">
        <v>24781.05532709149</v>
      </c>
      <c r="J149" s="100">
        <f t="shared" si="2"/>
        <v>20598.110356070669</v>
      </c>
      <c r="K149" s="100">
        <v>17154.290376006484</v>
      </c>
      <c r="L149" s="100">
        <v>25640.337376246811</v>
      </c>
      <c r="M149" s="100">
        <v>14708.076829699408</v>
      </c>
      <c r="N149" s="100">
        <v>18880.30596640618</v>
      </c>
      <c r="O149" s="100">
        <v>32104.080884327534</v>
      </c>
      <c r="P149" s="100">
        <v>48464.471582100188</v>
      </c>
      <c r="Q149" s="97" t="s">
        <v>737</v>
      </c>
    </row>
    <row r="150" spans="1:17">
      <c r="A150" s="98">
        <v>149</v>
      </c>
      <c r="B150" s="99" t="s">
        <v>548</v>
      </c>
      <c r="C150" s="99" t="s">
        <v>548</v>
      </c>
      <c r="D150" s="99" t="s">
        <v>549</v>
      </c>
      <c r="E150" s="99" t="s">
        <v>36</v>
      </c>
      <c r="F150" s="99" t="s">
        <v>114</v>
      </c>
      <c r="G150" s="99" t="s">
        <v>121</v>
      </c>
      <c r="H150" s="100">
        <v>15524.348899751507</v>
      </c>
      <c r="I150" s="100">
        <v>21996.297871741932</v>
      </c>
      <c r="J150" s="100">
        <f t="shared" si="2"/>
        <v>18760.32338574672</v>
      </c>
      <c r="K150" s="100">
        <v>15837.646723524362</v>
      </c>
      <c r="L150" s="100">
        <v>22358.232500920367</v>
      </c>
      <c r="M150" s="100">
        <v>13456.995244815318</v>
      </c>
      <c r="N150" s="100">
        <v>16056.466069456377</v>
      </c>
      <c r="O150" s="100">
        <v>30536.394285811213</v>
      </c>
      <c r="P150" s="100">
        <v>43266.717913716384</v>
      </c>
      <c r="Q150" s="97" t="s">
        <v>738</v>
      </c>
    </row>
    <row r="151" spans="1:17">
      <c r="A151" s="98">
        <v>150</v>
      </c>
      <c r="B151" s="99" t="s">
        <v>710</v>
      </c>
      <c r="C151" s="99" t="s">
        <v>710</v>
      </c>
      <c r="D151" s="99" t="s">
        <v>711</v>
      </c>
      <c r="E151" s="99" t="s">
        <v>36</v>
      </c>
      <c r="F151" s="99" t="s">
        <v>117</v>
      </c>
      <c r="G151" s="99" t="s">
        <v>121</v>
      </c>
      <c r="H151" s="100">
        <v>8247.9342106129388</v>
      </c>
      <c r="I151" s="100">
        <v>12858.620895551141</v>
      </c>
      <c r="J151" s="100">
        <f t="shared" si="2"/>
        <v>10553.27755308204</v>
      </c>
      <c r="K151" s="100">
        <v>7704.1186901774745</v>
      </c>
      <c r="L151" s="100">
        <v>12228.038330020472</v>
      </c>
      <c r="M151" s="100">
        <v>6628.9564540515976</v>
      </c>
      <c r="N151" s="100">
        <v>9219.6949724096303</v>
      </c>
      <c r="O151" s="100">
        <v>16369.592548461394</v>
      </c>
      <c r="P151" s="100">
        <v>25520.376305191396</v>
      </c>
      <c r="Q151" s="97" t="s">
        <v>738</v>
      </c>
    </row>
    <row r="152" spans="1:17">
      <c r="A152" s="98">
        <v>151</v>
      </c>
      <c r="B152" s="99" t="s">
        <v>558</v>
      </c>
      <c r="C152" s="99" t="s">
        <v>558</v>
      </c>
      <c r="D152" s="99" t="s">
        <v>559</v>
      </c>
      <c r="E152" s="99" t="s">
        <v>36</v>
      </c>
      <c r="F152" s="99" t="s">
        <v>118</v>
      </c>
      <c r="G152" s="99" t="s">
        <v>325</v>
      </c>
      <c r="H152" s="100">
        <v>3380.6402866049752</v>
      </c>
      <c r="I152" s="100">
        <v>4915.7385544273047</v>
      </c>
      <c r="J152" s="100">
        <f t="shared" si="2"/>
        <v>4148.1894205161398</v>
      </c>
      <c r="K152" s="100">
        <v>2846.5740259766985</v>
      </c>
      <c r="L152" s="100">
        <v>4272.266142948999</v>
      </c>
      <c r="M152" s="100">
        <v>1943.0640816851421</v>
      </c>
      <c r="N152" s="100">
        <v>2714.5150937475887</v>
      </c>
      <c r="O152" s="100">
        <v>6572.1337491744025</v>
      </c>
      <c r="P152" s="100">
        <v>9556.4415367344027</v>
      </c>
      <c r="Q152" s="97" t="s">
        <v>738</v>
      </c>
    </row>
    <row r="153" spans="1:17">
      <c r="A153" s="98">
        <v>152</v>
      </c>
      <c r="B153" s="99" t="s">
        <v>562</v>
      </c>
      <c r="C153" s="99" t="s">
        <v>562</v>
      </c>
      <c r="D153" s="99" t="s">
        <v>563</v>
      </c>
      <c r="E153" s="99" t="s">
        <v>36</v>
      </c>
      <c r="F153" s="99" t="s">
        <v>116</v>
      </c>
      <c r="G153" s="99" t="s">
        <v>121</v>
      </c>
      <c r="H153" s="100">
        <v>13831.572594965808</v>
      </c>
      <c r="I153" s="100">
        <v>21910.063861432427</v>
      </c>
      <c r="J153" s="100">
        <f t="shared" si="2"/>
        <v>17870.818228199118</v>
      </c>
      <c r="K153" s="100">
        <v>13332.950056082287</v>
      </c>
      <c r="L153" s="100">
        <v>21301.922603179941</v>
      </c>
      <c r="M153" s="100">
        <v>11886.942468393525</v>
      </c>
      <c r="N153" s="100">
        <v>16284.567439180806</v>
      </c>
      <c r="O153" s="100">
        <v>26528.67960569252</v>
      </c>
      <c r="P153" s="100">
        <v>42023.064284950167</v>
      </c>
      <c r="Q153" s="97" t="s">
        <v>738</v>
      </c>
    </row>
    <row r="154" spans="1:17">
      <c r="A154" s="98">
        <v>153</v>
      </c>
      <c r="B154" s="99" t="s">
        <v>568</v>
      </c>
      <c r="C154" s="99" t="s">
        <v>568</v>
      </c>
      <c r="D154" s="99" t="s">
        <v>569</v>
      </c>
      <c r="E154" s="99" t="s">
        <v>36</v>
      </c>
      <c r="F154" s="99" t="s">
        <v>116</v>
      </c>
      <c r="G154" s="99" t="s">
        <v>322</v>
      </c>
      <c r="H154" s="100">
        <v>6578.4068035677647</v>
      </c>
      <c r="I154" s="100">
        <v>10341.18732049557</v>
      </c>
      <c r="J154" s="100">
        <f t="shared" si="2"/>
        <v>8459.7970620316664</v>
      </c>
      <c r="K154" s="100">
        <v>6425.3626323448616</v>
      </c>
      <c r="L154" s="100">
        <v>10156.812881020762</v>
      </c>
      <c r="M154" s="100">
        <v>4374.5581415300076</v>
      </c>
      <c r="N154" s="100">
        <v>6613.3869763219755</v>
      </c>
      <c r="O154" s="100">
        <v>12903.544945198171</v>
      </c>
      <c r="P154" s="100">
        <v>20284.238929152059</v>
      </c>
      <c r="Q154" s="97" t="s">
        <v>738</v>
      </c>
    </row>
    <row r="155" spans="1:17">
      <c r="A155" s="98">
        <v>154</v>
      </c>
      <c r="B155" s="99" t="s">
        <v>570</v>
      </c>
      <c r="C155" s="99" t="s">
        <v>570</v>
      </c>
      <c r="D155" s="99" t="s">
        <v>571</v>
      </c>
      <c r="E155" s="99" t="s">
        <v>36</v>
      </c>
      <c r="F155" s="99" t="s">
        <v>114</v>
      </c>
      <c r="G155" s="99" t="s">
        <v>325</v>
      </c>
      <c r="H155" s="100">
        <v>7192.0301596074205</v>
      </c>
      <c r="I155" s="100">
        <v>11608.303135790849</v>
      </c>
      <c r="J155" s="100">
        <f t="shared" si="2"/>
        <v>9400.166647699134</v>
      </c>
      <c r="K155" s="100">
        <v>6713.0457221168044</v>
      </c>
      <c r="L155" s="100">
        <v>11038.226407758802</v>
      </c>
      <c r="M155" s="100">
        <v>4447.1173206831127</v>
      </c>
      <c r="N155" s="100">
        <v>7257.4740354206197</v>
      </c>
      <c r="O155" s="100">
        <v>14213.249602924163</v>
      </c>
      <c r="P155" s="100">
        <v>22940.909072106664</v>
      </c>
      <c r="Q155" s="97" t="s">
        <v>738</v>
      </c>
    </row>
    <row r="156" spans="1:17">
      <c r="A156" s="98">
        <v>155</v>
      </c>
      <c r="B156" s="99" t="s">
        <v>560</v>
      </c>
      <c r="C156" s="99" t="s">
        <v>560</v>
      </c>
      <c r="D156" s="99" t="s">
        <v>561</v>
      </c>
      <c r="E156" s="99" t="s">
        <v>36</v>
      </c>
      <c r="F156" s="99" t="s">
        <v>114</v>
      </c>
      <c r="G156" s="99" t="s">
        <v>322</v>
      </c>
      <c r="H156" s="100">
        <v>14884.471693528172</v>
      </c>
      <c r="I156" s="100">
        <v>22546.222394718287</v>
      </c>
      <c r="J156" s="100">
        <f t="shared" si="2"/>
        <v>18715.347044123228</v>
      </c>
      <c r="K156" s="100">
        <v>15484.696405491581</v>
      </c>
      <c r="L156" s="100">
        <v>23242.440206425155</v>
      </c>
      <c r="M156" s="100">
        <v>13174.15628480498</v>
      </c>
      <c r="N156" s="100">
        <v>17053.206825780791</v>
      </c>
      <c r="O156" s="100">
        <v>29079.09004443057</v>
      </c>
      <c r="P156" s="100">
        <v>44047.503109212616</v>
      </c>
      <c r="Q156" s="97" t="s">
        <v>737</v>
      </c>
    </row>
    <row r="157" spans="1:17">
      <c r="A157" s="98">
        <v>156</v>
      </c>
      <c r="B157" s="99" t="s">
        <v>564</v>
      </c>
      <c r="C157" s="99" t="s">
        <v>564</v>
      </c>
      <c r="D157" s="99" t="s">
        <v>565</v>
      </c>
      <c r="E157" s="99" t="s">
        <v>36</v>
      </c>
      <c r="F157" s="99" t="s">
        <v>114</v>
      </c>
      <c r="G157" s="99" t="s">
        <v>325</v>
      </c>
      <c r="H157" s="100">
        <v>12716.407468146364</v>
      </c>
      <c r="I157" s="100">
        <v>19380.82009560334</v>
      </c>
      <c r="J157" s="100">
        <f t="shared" si="2"/>
        <v>16048.613781874852</v>
      </c>
      <c r="K157" s="100">
        <v>13119.894761350704</v>
      </c>
      <c r="L157" s="100">
        <v>19846.074820698355</v>
      </c>
      <c r="M157" s="100">
        <v>11001.52156606009</v>
      </c>
      <c r="N157" s="100">
        <v>14465.315920528668</v>
      </c>
      <c r="O157" s="100">
        <v>24794.513412009397</v>
      </c>
      <c r="P157" s="100">
        <v>37791.338741548039</v>
      </c>
      <c r="Q157" s="97" t="s">
        <v>737</v>
      </c>
    </row>
    <row r="158" spans="1:17">
      <c r="A158" s="98">
        <v>157</v>
      </c>
      <c r="B158" s="99" t="s">
        <v>572</v>
      </c>
      <c r="C158" s="99" t="s">
        <v>572</v>
      </c>
      <c r="D158" s="99" t="s">
        <v>573</v>
      </c>
      <c r="E158" s="99" t="s">
        <v>36</v>
      </c>
      <c r="F158" s="99" t="s">
        <v>115</v>
      </c>
      <c r="G158" s="99" t="s">
        <v>121</v>
      </c>
      <c r="H158" s="100">
        <v>9002.2157989996631</v>
      </c>
      <c r="I158" s="100">
        <v>13920.204251805839</v>
      </c>
      <c r="J158" s="100">
        <f t="shared" si="2"/>
        <v>11461.21002540275</v>
      </c>
      <c r="K158" s="100">
        <v>9608.7173955022517</v>
      </c>
      <c r="L158" s="100">
        <v>14618.970966167199</v>
      </c>
      <c r="M158" s="100">
        <v>8375.1264051786584</v>
      </c>
      <c r="N158" s="100">
        <v>10973.368362233667</v>
      </c>
      <c r="O158" s="100">
        <v>17744.267561408233</v>
      </c>
      <c r="P158" s="100">
        <v>27438.114600734487</v>
      </c>
      <c r="Q158" s="97" t="s">
        <v>738</v>
      </c>
    </row>
    <row r="159" spans="1:17">
      <c r="A159" s="98">
        <v>158</v>
      </c>
      <c r="B159" s="99" t="s">
        <v>576</v>
      </c>
      <c r="C159" s="99" t="s">
        <v>576</v>
      </c>
      <c r="D159" s="99" t="s">
        <v>577</v>
      </c>
      <c r="E159" s="99" t="s">
        <v>36</v>
      </c>
      <c r="F159" s="99" t="s">
        <v>116</v>
      </c>
      <c r="G159" s="99" t="s">
        <v>121</v>
      </c>
      <c r="H159" s="100">
        <v>12083.464142824767</v>
      </c>
      <c r="I159" s="100">
        <v>22408.759268531252</v>
      </c>
      <c r="J159" s="100">
        <f t="shared" si="2"/>
        <v>17246.111705678009</v>
      </c>
      <c r="K159" s="100">
        <v>12980.333047218892</v>
      </c>
      <c r="L159" s="100">
        <v>23495.194360632944</v>
      </c>
      <c r="M159" s="100">
        <v>12822.080936825701</v>
      </c>
      <c r="N159" s="100">
        <v>19692.130771667464</v>
      </c>
      <c r="O159" s="100">
        <v>23441.920437080047</v>
      </c>
      <c r="P159" s="100">
        <v>43472.992980950628</v>
      </c>
      <c r="Q159" s="97" t="s">
        <v>738</v>
      </c>
    </row>
    <row r="160" spans="1:17">
      <c r="A160" s="98">
        <v>159</v>
      </c>
      <c r="B160" s="99" t="s">
        <v>766</v>
      </c>
      <c r="C160" s="99" t="s">
        <v>766</v>
      </c>
      <c r="D160" s="99" t="s">
        <v>713</v>
      </c>
      <c r="E160" s="99" t="s">
        <v>36</v>
      </c>
      <c r="F160" s="99" t="s">
        <v>114</v>
      </c>
      <c r="G160" s="99" t="s">
        <v>319</v>
      </c>
      <c r="H160" s="100">
        <v>5539.917036587407</v>
      </c>
      <c r="I160" s="100">
        <v>8903.0496284334095</v>
      </c>
      <c r="J160" s="100">
        <f t="shared" si="2"/>
        <v>7221.4833325104082</v>
      </c>
      <c r="K160" s="100">
        <v>5292.1855205309603</v>
      </c>
      <c r="L160" s="100">
        <v>8603.7954604298357</v>
      </c>
      <c r="M160" s="100">
        <v>3809.9023843913947</v>
      </c>
      <c r="N160" s="100">
        <v>5899.1608675390871</v>
      </c>
      <c r="O160" s="100">
        <v>10612.173771938677</v>
      </c>
      <c r="P160" s="100">
        <v>17082.863781633838</v>
      </c>
      <c r="Q160" s="97" t="s">
        <v>763</v>
      </c>
    </row>
    <row r="161" spans="1:17">
      <c r="A161" s="98">
        <v>160</v>
      </c>
      <c r="B161" s="99" t="s">
        <v>574</v>
      </c>
      <c r="C161" s="99" t="s">
        <v>574</v>
      </c>
      <c r="D161" s="99" t="s">
        <v>575</v>
      </c>
      <c r="E161" s="99" t="s">
        <v>36</v>
      </c>
      <c r="F161" s="99" t="s">
        <v>115</v>
      </c>
      <c r="G161" s="99" t="s">
        <v>121</v>
      </c>
      <c r="H161" s="100">
        <v>11414.536566165567</v>
      </c>
      <c r="I161" s="100">
        <v>18327.187763145223</v>
      </c>
      <c r="J161" s="100">
        <f t="shared" si="2"/>
        <v>14870.862164655395</v>
      </c>
      <c r="K161" s="100">
        <v>12443.196602488102</v>
      </c>
      <c r="L161" s="100">
        <v>19506.73559504786</v>
      </c>
      <c r="M161" s="100">
        <v>10542.748081945807</v>
      </c>
      <c r="N161" s="100">
        <v>14542.236124714334</v>
      </c>
      <c r="O161" s="100">
        <v>22143.059484704587</v>
      </c>
      <c r="P161" s="100">
        <v>35552.911541725422</v>
      </c>
      <c r="Q161" s="97" t="s">
        <v>738</v>
      </c>
    </row>
    <row r="162" spans="1:17">
      <c r="A162" s="98">
        <v>161</v>
      </c>
      <c r="B162" s="99" t="s">
        <v>566</v>
      </c>
      <c r="C162" s="99" t="s">
        <v>566</v>
      </c>
      <c r="D162" s="99" t="s">
        <v>567</v>
      </c>
      <c r="E162" s="99" t="s">
        <v>36</v>
      </c>
      <c r="F162" s="99" t="s">
        <v>116</v>
      </c>
      <c r="G162" s="99" t="s">
        <v>322</v>
      </c>
      <c r="H162" s="100">
        <v>6362.1981301885216</v>
      </c>
      <c r="I162" s="100">
        <v>9251.780700929874</v>
      </c>
      <c r="J162" s="100">
        <f t="shared" si="2"/>
        <v>7806.9894155591974</v>
      </c>
      <c r="K162" s="100">
        <v>6095.9028062153238</v>
      </c>
      <c r="L162" s="100">
        <v>8933.6799272732496</v>
      </c>
      <c r="M162" s="100">
        <v>4690.0573315797046</v>
      </c>
      <c r="N162" s="100">
        <v>6044.7003505246494</v>
      </c>
      <c r="O162" s="100">
        <v>12294.947886589318</v>
      </c>
      <c r="P162" s="100">
        <v>17879.066204546983</v>
      </c>
      <c r="Q162" s="97" t="s">
        <v>738</v>
      </c>
    </row>
    <row r="163" spans="1:17">
      <c r="A163" s="98">
        <v>162</v>
      </c>
      <c r="B163" s="99" t="s">
        <v>676</v>
      </c>
      <c r="C163" s="99" t="s">
        <v>676</v>
      </c>
      <c r="D163" s="99" t="s">
        <v>677</v>
      </c>
      <c r="E163" s="99" t="s">
        <v>36</v>
      </c>
      <c r="F163" s="99" t="s">
        <v>117</v>
      </c>
      <c r="G163" s="99" t="s">
        <v>322</v>
      </c>
      <c r="H163" s="100">
        <v>10284.321583607636</v>
      </c>
      <c r="I163" s="100">
        <v>15829.942699797341</v>
      </c>
      <c r="J163" s="100">
        <f t="shared" si="2"/>
        <v>13057.132141702488</v>
      </c>
      <c r="K163" s="100">
        <v>10467.113247262421</v>
      </c>
      <c r="L163" s="100">
        <v>16036.108207782441</v>
      </c>
      <c r="M163" s="100">
        <v>8564.3086044432966</v>
      </c>
      <c r="N163" s="100">
        <v>11562.277870407512</v>
      </c>
      <c r="O163" s="100">
        <v>19988.171318014971</v>
      </c>
      <c r="P163" s="100">
        <v>30773.31368868244</v>
      </c>
      <c r="Q163" s="97" t="s">
        <v>737</v>
      </c>
    </row>
    <row r="164" spans="1:17">
      <c r="A164" s="98">
        <v>163</v>
      </c>
      <c r="B164" s="99" t="s">
        <v>714</v>
      </c>
      <c r="C164" s="99" t="s">
        <v>714</v>
      </c>
      <c r="D164" s="99" t="s">
        <v>715</v>
      </c>
      <c r="E164" s="99" t="s">
        <v>36</v>
      </c>
      <c r="F164" s="99" t="s">
        <v>114</v>
      </c>
      <c r="G164" s="99" t="s">
        <v>121</v>
      </c>
      <c r="H164" s="100">
        <v>8909.6044127128171</v>
      </c>
      <c r="I164" s="100">
        <v>13822.837540070383</v>
      </c>
      <c r="J164" s="100">
        <f t="shared" si="2"/>
        <v>11366.2209763916</v>
      </c>
      <c r="K164" s="100">
        <v>8967.6496299481059</v>
      </c>
      <c r="L164" s="100">
        <v>13882.55493213204</v>
      </c>
      <c r="M164" s="100">
        <v>7186.6933940752297</v>
      </c>
      <c r="N164" s="100">
        <v>9921.358739782534</v>
      </c>
      <c r="O164" s="100">
        <v>17271.42473936285</v>
      </c>
      <c r="P164" s="100">
        <v>26806.430937017532</v>
      </c>
      <c r="Q164" s="97" t="s">
        <v>737</v>
      </c>
    </row>
    <row r="165" spans="1:17">
      <c r="A165" s="98">
        <v>164</v>
      </c>
      <c r="B165" s="99" t="s">
        <v>578</v>
      </c>
      <c r="C165" s="99" t="s">
        <v>578</v>
      </c>
      <c r="D165" s="99" t="s">
        <v>579</v>
      </c>
      <c r="E165" s="99" t="s">
        <v>36</v>
      </c>
      <c r="F165" s="99" t="s">
        <v>117</v>
      </c>
      <c r="G165" s="99" t="s">
        <v>121</v>
      </c>
      <c r="H165" s="100">
        <v>14201.111247766163</v>
      </c>
      <c r="I165" s="100">
        <v>24592.699947093501</v>
      </c>
      <c r="J165" s="100">
        <f t="shared" si="2"/>
        <v>19396.905597429832</v>
      </c>
      <c r="K165" s="100">
        <v>14523.326840335108</v>
      </c>
      <c r="L165" s="100">
        <v>24962.876384761206</v>
      </c>
      <c r="M165" s="100">
        <v>14093.964073870238</v>
      </c>
      <c r="N165" s="100">
        <v>20629.911930532624</v>
      </c>
      <c r="O165" s="100">
        <v>28383.761050910227</v>
      </c>
      <c r="P165" s="100">
        <v>49153.429384255782</v>
      </c>
      <c r="Q165" s="97" t="s">
        <v>738</v>
      </c>
    </row>
    <row r="166" spans="1:17">
      <c r="A166" s="98">
        <v>165</v>
      </c>
      <c r="B166" s="99" t="s">
        <v>580</v>
      </c>
      <c r="C166" s="99" t="s">
        <v>580</v>
      </c>
      <c r="D166" s="99" t="s">
        <v>581</v>
      </c>
      <c r="E166" s="99" t="s">
        <v>36</v>
      </c>
      <c r="F166" s="99" t="s">
        <v>115</v>
      </c>
      <c r="G166" s="99" t="s">
        <v>121</v>
      </c>
      <c r="H166" s="100">
        <v>6642.9092727253637</v>
      </c>
      <c r="I166" s="100">
        <v>9946.3004566318577</v>
      </c>
      <c r="J166" s="100">
        <f t="shared" si="2"/>
        <v>8294.6048646786112</v>
      </c>
      <c r="K166" s="100">
        <v>7035.3008702436682</v>
      </c>
      <c r="L166" s="100">
        <v>10398.790847437282</v>
      </c>
      <c r="M166" s="100">
        <v>5022.2390769415433</v>
      </c>
      <c r="N166" s="100">
        <v>6811.9828802064585</v>
      </c>
      <c r="O166" s="100">
        <v>12913.151335250834</v>
      </c>
      <c r="P166" s="100">
        <v>19334.613457646668</v>
      </c>
      <c r="Q166" s="97" t="s">
        <v>738</v>
      </c>
    </row>
    <row r="167" spans="1:17">
      <c r="A167" s="98">
        <v>166</v>
      </c>
      <c r="B167" s="99" t="s">
        <v>582</v>
      </c>
      <c r="C167" s="99" t="s">
        <v>582</v>
      </c>
      <c r="D167" s="99" t="s">
        <v>583</v>
      </c>
      <c r="E167" s="99" t="s">
        <v>36</v>
      </c>
      <c r="F167" s="99" t="s">
        <v>115</v>
      </c>
      <c r="G167" s="99" t="s">
        <v>322</v>
      </c>
      <c r="H167" s="100">
        <v>7890.7073933151341</v>
      </c>
      <c r="I167" s="100">
        <v>12335.234483848733</v>
      </c>
      <c r="J167" s="100">
        <f t="shared" si="2"/>
        <v>10112.970938581933</v>
      </c>
      <c r="K167" s="100">
        <v>7856.2944779772024</v>
      </c>
      <c r="L167" s="100">
        <v>12286.409150199273</v>
      </c>
      <c r="M167" s="100">
        <v>6165.6484392011425</v>
      </c>
      <c r="N167" s="100">
        <v>8705.1612217300371</v>
      </c>
      <c r="O167" s="100">
        <v>15257.857839892378</v>
      </c>
      <c r="P167" s="100">
        <v>23866.302525483567</v>
      </c>
      <c r="Q167" s="97" t="s">
        <v>737</v>
      </c>
    </row>
    <row r="168" spans="1:17">
      <c r="A168" s="98">
        <v>167</v>
      </c>
      <c r="B168" s="99" t="s">
        <v>584</v>
      </c>
      <c r="C168" s="99" t="s">
        <v>584</v>
      </c>
      <c r="D168" s="99" t="s">
        <v>585</v>
      </c>
      <c r="E168" s="99" t="s">
        <v>36</v>
      </c>
      <c r="F168" s="99" t="s">
        <v>119</v>
      </c>
      <c r="G168" s="99" t="s">
        <v>319</v>
      </c>
      <c r="H168" s="100">
        <v>5149.4991694133359</v>
      </c>
      <c r="I168" s="100">
        <v>6192.2956996946723</v>
      </c>
      <c r="J168" s="100">
        <f t="shared" si="2"/>
        <v>5670.8974345540046</v>
      </c>
      <c r="K168" s="100">
        <v>4261.963817030989</v>
      </c>
      <c r="L168" s="100">
        <v>5119.5122875908319</v>
      </c>
      <c r="M168" s="100">
        <v>3501.6997820128431</v>
      </c>
      <c r="N168" s="100">
        <v>3277.1051124835772</v>
      </c>
      <c r="O168" s="100">
        <v>9522.4538640791397</v>
      </c>
      <c r="P168" s="100">
        <v>11450.793207875389</v>
      </c>
      <c r="Q168" s="97" t="s">
        <v>738</v>
      </c>
    </row>
    <row r="169" spans="1:17">
      <c r="A169" s="98">
        <v>168</v>
      </c>
      <c r="B169" s="99" t="s">
        <v>590</v>
      </c>
      <c r="C169" s="99" t="s">
        <v>590</v>
      </c>
      <c r="D169" s="99" t="s">
        <v>591</v>
      </c>
      <c r="E169" s="99" t="s">
        <v>36</v>
      </c>
      <c r="F169" s="99" t="s">
        <v>117</v>
      </c>
      <c r="G169" s="99" t="s">
        <v>121</v>
      </c>
      <c r="H169" s="100">
        <v>7299.2917697961011</v>
      </c>
      <c r="I169" s="100">
        <v>11331.689825445117</v>
      </c>
      <c r="J169" s="100">
        <f t="shared" si="2"/>
        <v>9315.4907976206086</v>
      </c>
      <c r="K169" s="100">
        <v>7139.8035805256941</v>
      </c>
      <c r="L169" s="100">
        <v>11146.867836736794</v>
      </c>
      <c r="M169" s="100">
        <v>5438.3622262229319</v>
      </c>
      <c r="N169" s="100">
        <v>7784.3385562728263</v>
      </c>
      <c r="O169" s="100">
        <v>14190.5531296606</v>
      </c>
      <c r="P169" s="100">
        <v>22029.938189647855</v>
      </c>
      <c r="Q169" s="97" t="s">
        <v>738</v>
      </c>
    </row>
    <row r="170" spans="1:17">
      <c r="A170" s="98">
        <v>169</v>
      </c>
      <c r="B170" s="99" t="s">
        <v>622</v>
      </c>
      <c r="C170" s="99" t="s">
        <v>622</v>
      </c>
      <c r="D170" s="99" t="s">
        <v>623</v>
      </c>
      <c r="E170" s="99" t="s">
        <v>36</v>
      </c>
      <c r="F170" s="99" t="s">
        <v>119</v>
      </c>
      <c r="G170" s="99" t="s">
        <v>319</v>
      </c>
      <c r="H170" s="100">
        <v>5168.655730806141</v>
      </c>
      <c r="I170" s="100">
        <v>8361.0032364795552</v>
      </c>
      <c r="J170" s="100">
        <f t="shared" si="2"/>
        <v>6764.8294836428486</v>
      </c>
      <c r="K170" s="100">
        <v>4887.2347187793139</v>
      </c>
      <c r="L170" s="100">
        <v>8022.1987377620999</v>
      </c>
      <c r="M170" s="100">
        <v>3437.8584231361001</v>
      </c>
      <c r="N170" s="100">
        <v>5456.008056171534</v>
      </c>
      <c r="O170" s="100">
        <v>9878.4789410152753</v>
      </c>
      <c r="P170" s="100">
        <v>16011.552459243312</v>
      </c>
      <c r="Q170" s="97" t="s">
        <v>737</v>
      </c>
    </row>
    <row r="171" spans="1:17">
      <c r="A171" s="98">
        <v>170</v>
      </c>
      <c r="B171" s="99" t="s">
        <v>592</v>
      </c>
      <c r="C171" s="99" t="s">
        <v>592</v>
      </c>
      <c r="D171" s="99" t="s">
        <v>593</v>
      </c>
      <c r="E171" s="99" t="s">
        <v>36</v>
      </c>
      <c r="F171" s="99" t="s">
        <v>119</v>
      </c>
      <c r="G171" s="99" t="s">
        <v>325</v>
      </c>
      <c r="H171" s="100">
        <v>7192.0263832207629</v>
      </c>
      <c r="I171" s="100">
        <v>11315.151015006291</v>
      </c>
      <c r="J171" s="100">
        <f t="shared" si="2"/>
        <v>9253.5886991135267</v>
      </c>
      <c r="K171" s="100">
        <v>7094.2128098890689</v>
      </c>
      <c r="L171" s="100">
        <v>11191.895449650912</v>
      </c>
      <c r="M171" s="100">
        <v>5465.4945405815315</v>
      </c>
      <c r="N171" s="100">
        <v>7871.1867432400504</v>
      </c>
      <c r="O171" s="100">
        <v>13877.108923729813</v>
      </c>
      <c r="P171" s="100">
        <v>21850.18917028694</v>
      </c>
      <c r="Q171" s="97" t="s">
        <v>737</v>
      </c>
    </row>
    <row r="172" spans="1:17">
      <c r="A172" s="98">
        <v>171</v>
      </c>
      <c r="B172" s="99" t="s">
        <v>600</v>
      </c>
      <c r="C172" s="99" t="s">
        <v>600</v>
      </c>
      <c r="D172" s="99" t="s">
        <v>601</v>
      </c>
      <c r="E172" s="99" t="s">
        <v>36</v>
      </c>
      <c r="F172" s="99" t="s">
        <v>114</v>
      </c>
      <c r="G172" s="99" t="s">
        <v>121</v>
      </c>
      <c r="H172" s="100">
        <v>22675.299232782912</v>
      </c>
      <c r="I172" s="100">
        <v>41891.466368389396</v>
      </c>
      <c r="J172" s="100">
        <f t="shared" si="2"/>
        <v>32283.382800586154</v>
      </c>
      <c r="K172" s="100">
        <v>24533.444021616589</v>
      </c>
      <c r="L172" s="100">
        <v>43983.337940678044</v>
      </c>
      <c r="M172" s="100">
        <v>23814.853846181821</v>
      </c>
      <c r="N172" s="100">
        <v>36732.331765003255</v>
      </c>
      <c r="O172" s="100">
        <v>44536.555223108924</v>
      </c>
      <c r="P172" s="100">
        <v>82279.029094153608</v>
      </c>
      <c r="Q172" s="97" t="s">
        <v>738</v>
      </c>
    </row>
    <row r="173" spans="1:17">
      <c r="A173" s="98">
        <v>172</v>
      </c>
      <c r="B173" s="99" t="s">
        <v>606</v>
      </c>
      <c r="C173" s="99" t="s">
        <v>606</v>
      </c>
      <c r="D173" s="99" t="s">
        <v>607</v>
      </c>
      <c r="E173" s="99" t="s">
        <v>36</v>
      </c>
      <c r="F173" s="99" t="s">
        <v>114</v>
      </c>
      <c r="G173" s="99" t="s">
        <v>325</v>
      </c>
      <c r="H173" s="100">
        <v>14898.834555635211</v>
      </c>
      <c r="I173" s="100">
        <v>22567.192362398782</v>
      </c>
      <c r="J173" s="100">
        <f t="shared" si="2"/>
        <v>18733.013459016998</v>
      </c>
      <c r="K173" s="100">
        <v>15500.362601874353</v>
      </c>
      <c r="L173" s="100">
        <v>23264.940244537138</v>
      </c>
      <c r="M173" s="100">
        <v>13188.549425242876</v>
      </c>
      <c r="N173" s="100">
        <v>17070.350930547174</v>
      </c>
      <c r="O173" s="100">
        <v>29107.474251244214</v>
      </c>
      <c r="P173" s="100">
        <v>44088.948572441877</v>
      </c>
      <c r="Q173" s="97" t="s">
        <v>737</v>
      </c>
    </row>
    <row r="174" spans="1:17">
      <c r="A174" s="98">
        <v>173</v>
      </c>
      <c r="B174" s="99" t="s">
        <v>598</v>
      </c>
      <c r="C174" s="99" t="s">
        <v>598</v>
      </c>
      <c r="D174" s="99" t="s">
        <v>599</v>
      </c>
      <c r="E174" s="99" t="s">
        <v>36</v>
      </c>
      <c r="F174" s="99" t="s">
        <v>119</v>
      </c>
      <c r="G174" s="99" t="s">
        <v>319</v>
      </c>
      <c r="H174" s="100">
        <v>4913.6329737063479</v>
      </c>
      <c r="I174" s="100">
        <v>7988.6666552105398</v>
      </c>
      <c r="J174" s="100">
        <f t="shared" si="2"/>
        <v>6451.1498144584439</v>
      </c>
      <c r="K174" s="100">
        <v>4609.0703414409427</v>
      </c>
      <c r="L174" s="100">
        <v>7622.694675730073</v>
      </c>
      <c r="M174" s="100">
        <v>3182.2980528950011</v>
      </c>
      <c r="N174" s="100">
        <v>5151.6023720573312</v>
      </c>
      <c r="O174" s="100">
        <v>9374.4973093765857</v>
      </c>
      <c r="P174" s="100">
        <v>15275.658998508618</v>
      </c>
      <c r="Q174" s="97" t="s">
        <v>737</v>
      </c>
    </row>
    <row r="175" spans="1:17">
      <c r="A175" s="98">
        <v>174</v>
      </c>
      <c r="B175" s="99" t="s">
        <v>418</v>
      </c>
      <c r="C175" s="99" t="s">
        <v>418</v>
      </c>
      <c r="D175" s="99" t="s">
        <v>419</v>
      </c>
      <c r="E175" s="99" t="s">
        <v>36</v>
      </c>
      <c r="F175" s="99" t="s">
        <v>116</v>
      </c>
      <c r="G175" s="99" t="s">
        <v>322</v>
      </c>
      <c r="H175" s="100">
        <v>8598.4876977083222</v>
      </c>
      <c r="I175" s="100">
        <v>13368.603042107165</v>
      </c>
      <c r="J175" s="100">
        <f t="shared" si="2"/>
        <v>10983.545369907744</v>
      </c>
      <c r="K175" s="100">
        <v>8628.3011408447601</v>
      </c>
      <c r="L175" s="100">
        <v>13395.177284647352</v>
      </c>
      <c r="M175" s="100">
        <v>6874.9208143300039</v>
      </c>
      <c r="N175" s="100">
        <v>9549.9969932963286</v>
      </c>
      <c r="O175" s="100">
        <v>16656.588983365287</v>
      </c>
      <c r="P175" s="100">
        <v>25908.672796917603</v>
      </c>
      <c r="Q175" s="97" t="s">
        <v>737</v>
      </c>
    </row>
    <row r="176" spans="1:17">
      <c r="A176" s="98">
        <v>175</v>
      </c>
      <c r="B176" s="99" t="s">
        <v>718</v>
      </c>
      <c r="C176" s="99" t="s">
        <v>718</v>
      </c>
      <c r="D176" s="99" t="s">
        <v>719</v>
      </c>
      <c r="E176" s="99" t="s">
        <v>36</v>
      </c>
      <c r="F176" s="99" t="s">
        <v>115</v>
      </c>
      <c r="G176" s="99" t="s">
        <v>121</v>
      </c>
      <c r="H176" s="100">
        <v>14525.465600577678</v>
      </c>
      <c r="I176" s="100">
        <v>22022.068774766536</v>
      </c>
      <c r="J176" s="100">
        <f t="shared" si="2"/>
        <v>18273.767187672107</v>
      </c>
      <c r="K176" s="100">
        <v>15093.112895682774</v>
      </c>
      <c r="L176" s="100">
        <v>22680.041799086765</v>
      </c>
      <c r="M176" s="100">
        <v>12814.393371578626</v>
      </c>
      <c r="N176" s="100">
        <v>16624.682342050117</v>
      </c>
      <c r="O176" s="100">
        <v>28369.614237051464</v>
      </c>
      <c r="P176" s="100">
        <v>43011.555419011769</v>
      </c>
      <c r="Q176" s="97" t="s">
        <v>737</v>
      </c>
    </row>
    <row r="177" spans="1:17">
      <c r="A177" s="98">
        <v>176</v>
      </c>
      <c r="B177" s="99" t="s">
        <v>608</v>
      </c>
      <c r="C177" s="99" t="s">
        <v>608</v>
      </c>
      <c r="D177" s="99" t="s">
        <v>609</v>
      </c>
      <c r="E177" s="99" t="s">
        <v>36</v>
      </c>
      <c r="F177" s="99" t="s">
        <v>119</v>
      </c>
      <c r="G177" s="99" t="s">
        <v>319</v>
      </c>
      <c r="H177" s="100">
        <v>6616.9094750251779</v>
      </c>
      <c r="I177" s="100">
        <v>10475.472760944611</v>
      </c>
      <c r="J177" s="100">
        <f t="shared" si="2"/>
        <v>8546.1911179848939</v>
      </c>
      <c r="K177" s="100">
        <v>6466.9078646978687</v>
      </c>
      <c r="L177" s="100">
        <v>10290.950202331165</v>
      </c>
      <c r="M177" s="100">
        <v>4889.165229182604</v>
      </c>
      <c r="N177" s="100">
        <v>7184.7034745472283</v>
      </c>
      <c r="O177" s="100">
        <v>12740.550127677003</v>
      </c>
      <c r="P177" s="100">
        <v>20190.632287159544</v>
      </c>
      <c r="Q177" s="97" t="s">
        <v>737</v>
      </c>
    </row>
    <row r="178" spans="1:17">
      <c r="A178" s="98">
        <v>177</v>
      </c>
      <c r="B178" s="99" t="s">
        <v>594</v>
      </c>
      <c r="C178" s="99" t="s">
        <v>594</v>
      </c>
      <c r="D178" s="99" t="s">
        <v>595</v>
      </c>
      <c r="E178" s="99" t="s">
        <v>36</v>
      </c>
      <c r="F178" s="99" t="s">
        <v>115</v>
      </c>
      <c r="G178" s="99" t="s">
        <v>322</v>
      </c>
      <c r="H178" s="100">
        <v>7355.5893333891308</v>
      </c>
      <c r="I178" s="100">
        <v>12275.50515966322</v>
      </c>
      <c r="J178" s="100">
        <f t="shared" si="2"/>
        <v>9815.5472465261755</v>
      </c>
      <c r="K178" s="100">
        <v>7984.7855423713418</v>
      </c>
      <c r="L178" s="100">
        <v>13007.021798800504</v>
      </c>
      <c r="M178" s="100">
        <v>6355.0727408124258</v>
      </c>
      <c r="N178" s="100">
        <v>9469.0649851527851</v>
      </c>
      <c r="O178" s="100">
        <v>14072.419289066749</v>
      </c>
      <c r="P178" s="100">
        <v>23485.005451261284</v>
      </c>
      <c r="Q178" s="97" t="s">
        <v>738</v>
      </c>
    </row>
    <row r="179" spans="1:17">
      <c r="A179" s="98">
        <v>178</v>
      </c>
      <c r="B179" s="99" t="s">
        <v>716</v>
      </c>
      <c r="C179" s="99" t="s">
        <v>716</v>
      </c>
      <c r="D179" s="99" t="s">
        <v>717</v>
      </c>
      <c r="E179" s="99" t="s">
        <v>36</v>
      </c>
      <c r="F179" s="99" t="s">
        <v>119</v>
      </c>
      <c r="G179" s="99" t="s">
        <v>319</v>
      </c>
      <c r="H179" s="100">
        <v>6254.3433443450003</v>
      </c>
      <c r="I179" s="100">
        <v>9946.1214390601617</v>
      </c>
      <c r="J179" s="100">
        <f t="shared" si="2"/>
        <v>8100.2323917025806</v>
      </c>
      <c r="K179" s="100">
        <v>6071.4412673966353</v>
      </c>
      <c r="L179" s="100">
        <v>9722.9748435466736</v>
      </c>
      <c r="M179" s="100">
        <v>4525.8347733156761</v>
      </c>
      <c r="N179" s="100">
        <v>6751.9295829091943</v>
      </c>
      <c r="O179" s="100">
        <v>12024.038894737823</v>
      </c>
      <c r="P179" s="100">
        <v>19144.411754977715</v>
      </c>
      <c r="Q179" s="97" t="s">
        <v>737</v>
      </c>
    </row>
    <row r="180" spans="1:17">
      <c r="A180" s="98">
        <v>179</v>
      </c>
      <c r="B180" s="99" t="s">
        <v>767</v>
      </c>
      <c r="C180" s="99" t="s">
        <v>767</v>
      </c>
      <c r="D180" s="99" t="s">
        <v>589</v>
      </c>
      <c r="E180" s="99" t="s">
        <v>36</v>
      </c>
      <c r="F180" s="99" t="s">
        <v>119</v>
      </c>
      <c r="G180" s="99" t="s">
        <v>325</v>
      </c>
      <c r="H180" s="100">
        <v>10745.155967072351</v>
      </c>
      <c r="I180" s="100">
        <v>16502.766963881833</v>
      </c>
      <c r="J180" s="100">
        <f t="shared" si="2"/>
        <v>13623.961465477092</v>
      </c>
      <c r="K180" s="100">
        <v>10969.765288164062</v>
      </c>
      <c r="L180" s="100">
        <v>16758.024989688049</v>
      </c>
      <c r="M180" s="100">
        <v>9026.1144722701647</v>
      </c>
      <c r="N180" s="100">
        <v>12112.348802732306</v>
      </c>
      <c r="O180" s="100">
        <v>20898.882452719208</v>
      </c>
      <c r="P180" s="100">
        <v>32103.097011276994</v>
      </c>
      <c r="Q180" s="97" t="s">
        <v>737</v>
      </c>
    </row>
    <row r="181" spans="1:17">
      <c r="A181" s="98">
        <v>180</v>
      </c>
      <c r="B181" s="99" t="s">
        <v>624</v>
      </c>
      <c r="C181" s="99" t="s">
        <v>624</v>
      </c>
      <c r="D181" s="99" t="s">
        <v>625</v>
      </c>
      <c r="E181" s="99" t="s">
        <v>36</v>
      </c>
      <c r="F181" s="99" t="s">
        <v>116</v>
      </c>
      <c r="G181" s="99" t="s">
        <v>322</v>
      </c>
      <c r="H181" s="100">
        <v>6336.157272763131</v>
      </c>
      <c r="I181" s="100">
        <v>10065.570851158998</v>
      </c>
      <c r="J181" s="100">
        <f t="shared" si="2"/>
        <v>8200.8640619610651</v>
      </c>
      <c r="K181" s="100">
        <v>6160.6792660554374</v>
      </c>
      <c r="L181" s="100">
        <v>9851.139863427823</v>
      </c>
      <c r="M181" s="100">
        <v>4607.8211735694958</v>
      </c>
      <c r="N181" s="100">
        <v>6849.5860631912501</v>
      </c>
      <c r="O181" s="100">
        <v>12185.721395561879</v>
      </c>
      <c r="P181" s="100">
        <v>19380.493960364423</v>
      </c>
      <c r="Q181" s="97" t="s">
        <v>737</v>
      </c>
    </row>
    <row r="182" spans="1:17">
      <c r="A182" s="98">
        <v>181</v>
      </c>
      <c r="B182" s="99" t="s">
        <v>602</v>
      </c>
      <c r="C182" s="99" t="s">
        <v>602</v>
      </c>
      <c r="D182" s="99" t="s">
        <v>603</v>
      </c>
      <c r="E182" s="99" t="s">
        <v>36</v>
      </c>
      <c r="F182" s="99" t="s">
        <v>115</v>
      </c>
      <c r="G182" s="99" t="s">
        <v>121</v>
      </c>
      <c r="H182" s="100">
        <v>10401.636646579214</v>
      </c>
      <c r="I182" s="100">
        <v>16001.224235511832</v>
      </c>
      <c r="J182" s="100">
        <f t="shared" si="2"/>
        <v>13201.430441045522</v>
      </c>
      <c r="K182" s="100">
        <v>10595.073872482744</v>
      </c>
      <c r="L182" s="100">
        <v>16219.887274120227</v>
      </c>
      <c r="M182" s="100">
        <v>8681.870979145966</v>
      </c>
      <c r="N182" s="100">
        <v>11702.309969530294</v>
      </c>
      <c r="O182" s="100">
        <v>20220.011948728075</v>
      </c>
      <c r="P182" s="100">
        <v>31111.837939099354</v>
      </c>
      <c r="Q182" s="97" t="s">
        <v>737</v>
      </c>
    </row>
    <row r="183" spans="1:17">
      <c r="A183" s="98">
        <v>182</v>
      </c>
      <c r="B183" s="99" t="s">
        <v>604</v>
      </c>
      <c r="C183" s="99" t="s">
        <v>604</v>
      </c>
      <c r="D183" s="99" t="s">
        <v>605</v>
      </c>
      <c r="E183" s="99" t="s">
        <v>36</v>
      </c>
      <c r="F183" s="99" t="s">
        <v>115</v>
      </c>
      <c r="G183" s="99" t="s">
        <v>121</v>
      </c>
      <c r="H183" s="100">
        <v>11116.634579449423</v>
      </c>
      <c r="I183" s="100">
        <v>16142.294997307685</v>
      </c>
      <c r="J183" s="100">
        <f t="shared" si="2"/>
        <v>13629.464788378555</v>
      </c>
      <c r="K183" s="100">
        <v>11668.636834485795</v>
      </c>
      <c r="L183" s="100">
        <v>16790.355773176863</v>
      </c>
      <c r="M183" s="100">
        <v>9431.5073304938269</v>
      </c>
      <c r="N183" s="100">
        <v>11700.527191348507</v>
      </c>
      <c r="O183" s="100">
        <v>21787.492112262924</v>
      </c>
      <c r="P183" s="100">
        <v>31637.283965223331</v>
      </c>
      <c r="Q183" s="97" t="s">
        <v>738</v>
      </c>
    </row>
    <row r="184" spans="1:17">
      <c r="A184" s="98">
        <v>183</v>
      </c>
      <c r="B184" s="99" t="s">
        <v>628</v>
      </c>
      <c r="C184" s="99" t="s">
        <v>628</v>
      </c>
      <c r="D184" s="99" t="s">
        <v>629</v>
      </c>
      <c r="E184" s="99" t="s">
        <v>36</v>
      </c>
      <c r="F184" s="99" t="s">
        <v>115</v>
      </c>
      <c r="G184" s="99" t="s">
        <v>121</v>
      </c>
      <c r="H184" s="100">
        <v>15757.691891856755</v>
      </c>
      <c r="I184" s="100">
        <v>23537.393968739299</v>
      </c>
      <c r="J184" s="100">
        <f t="shared" si="2"/>
        <v>19647.542930298026</v>
      </c>
      <c r="K184" s="100">
        <v>16106.689301071659</v>
      </c>
      <c r="L184" s="100">
        <v>23955.023097725676</v>
      </c>
      <c r="M184" s="100">
        <v>12364.338310881179</v>
      </c>
      <c r="N184" s="100">
        <v>16315.355630816008</v>
      </c>
      <c r="O184" s="100">
        <v>30350.890352905295</v>
      </c>
      <c r="P184" s="100">
        <v>45335.374523188759</v>
      </c>
      <c r="Q184" s="97" t="s">
        <v>738</v>
      </c>
    </row>
    <row r="185" spans="1:17">
      <c r="A185" s="98">
        <v>184</v>
      </c>
      <c r="B185" s="99" t="s">
        <v>768</v>
      </c>
      <c r="C185" s="99" t="s">
        <v>768</v>
      </c>
      <c r="D185" s="99" t="s">
        <v>627</v>
      </c>
      <c r="E185" s="99" t="s">
        <v>36</v>
      </c>
      <c r="F185" s="99" t="s">
        <v>119</v>
      </c>
      <c r="G185" s="99" t="s">
        <v>325</v>
      </c>
      <c r="H185" s="100">
        <v>7070.8364153502116</v>
      </c>
      <c r="I185" s="100">
        <v>11138.21206714853</v>
      </c>
      <c r="J185" s="100">
        <f t="shared" si="2"/>
        <v>9104.5242412493717</v>
      </c>
      <c r="K185" s="100">
        <v>6962.025657904127</v>
      </c>
      <c r="L185" s="100">
        <v>11002.04617897241</v>
      </c>
      <c r="M185" s="100">
        <v>5344.0490922979279</v>
      </c>
      <c r="N185" s="100">
        <v>7726.529397766456</v>
      </c>
      <c r="O185" s="100">
        <v>13637.61061996965</v>
      </c>
      <c r="P185" s="100">
        <v>21500.483497441088</v>
      </c>
      <c r="Q185" s="97" t="s">
        <v>737</v>
      </c>
    </row>
    <row r="186" spans="1:17">
      <c r="A186" s="98">
        <v>185</v>
      </c>
      <c r="B186" s="99" t="s">
        <v>769</v>
      </c>
      <c r="C186" s="99" t="s">
        <v>769</v>
      </c>
      <c r="D186" s="99" t="s">
        <v>770</v>
      </c>
      <c r="E186" s="99" t="s">
        <v>36</v>
      </c>
      <c r="F186" s="99" t="s">
        <v>116</v>
      </c>
      <c r="G186" s="99" t="s">
        <v>121</v>
      </c>
      <c r="H186" s="100">
        <v>13078.493439769185</v>
      </c>
      <c r="I186" s="100">
        <v>19909.470378945523</v>
      </c>
      <c r="J186" s="100">
        <f t="shared" si="2"/>
        <v>16493.981909357353</v>
      </c>
      <c r="K186" s="100">
        <v>13514.837628351428</v>
      </c>
      <c r="L186" s="100">
        <v>20413.297989772342</v>
      </c>
      <c r="M186" s="100">
        <v>11364.370850646979</v>
      </c>
      <c r="N186" s="100">
        <v>14897.51667450636</v>
      </c>
      <c r="O186" s="100">
        <v>25510.075743964506</v>
      </c>
      <c r="P186" s="100">
        <v>38836.173727143992</v>
      </c>
      <c r="Q186" s="97" t="s">
        <v>737</v>
      </c>
    </row>
    <row r="187" spans="1:17" ht="15" customHeight="1">
      <c r="A187" s="98">
        <v>186</v>
      </c>
      <c r="B187" s="99" t="s">
        <v>596</v>
      </c>
      <c r="C187" s="99" t="s">
        <v>596</v>
      </c>
      <c r="D187" s="99" t="s">
        <v>597</v>
      </c>
      <c r="E187" s="99" t="s">
        <v>36</v>
      </c>
      <c r="F187" s="99" t="s">
        <v>119</v>
      </c>
      <c r="G187" s="99" t="s">
        <v>121</v>
      </c>
      <c r="H187" s="100">
        <v>8309.0870434506069</v>
      </c>
      <c r="I187" s="100">
        <v>12946.074278600898</v>
      </c>
      <c r="J187" s="100">
        <f t="shared" si="2"/>
        <v>10627.580661025753</v>
      </c>
      <c r="K187" s="100">
        <v>8312.6393006686121</v>
      </c>
      <c r="L187" s="100">
        <v>12941.818775604797</v>
      </c>
      <c r="M187" s="100">
        <v>6584.9100749308636</v>
      </c>
      <c r="N187" s="100">
        <v>9204.556432837071</v>
      </c>
      <c r="O187" s="100">
        <v>16084.668988503674</v>
      </c>
      <c r="P187" s="100">
        <v>25073.578504068828</v>
      </c>
      <c r="Q187" s="97" t="s">
        <v>737</v>
      </c>
    </row>
    <row r="188" spans="1:17">
      <c r="A188" s="98">
        <v>187</v>
      </c>
      <c r="B188" s="99" t="s">
        <v>632</v>
      </c>
      <c r="C188" s="99" t="s">
        <v>632</v>
      </c>
      <c r="D188" s="99" t="s">
        <v>633</v>
      </c>
      <c r="E188" s="99" t="s">
        <v>36</v>
      </c>
      <c r="F188" s="99" t="s">
        <v>117</v>
      </c>
      <c r="G188" s="99" t="s">
        <v>319</v>
      </c>
      <c r="H188" s="100">
        <v>4336.4168507478789</v>
      </c>
      <c r="I188" s="100">
        <v>7145.9235199709974</v>
      </c>
      <c r="J188" s="100">
        <f t="shared" si="2"/>
        <v>5741.1701853594386</v>
      </c>
      <c r="K188" s="100">
        <v>3979.4756916992242</v>
      </c>
      <c r="L188" s="100">
        <v>6718.4609186538382</v>
      </c>
      <c r="M188" s="100">
        <v>2603.8651013812892</v>
      </c>
      <c r="N188" s="100">
        <v>4462.6133940181535</v>
      </c>
      <c r="O188" s="100">
        <v>8233.7899985269396</v>
      </c>
      <c r="P188" s="100">
        <v>13610.044622966618</v>
      </c>
      <c r="Q188" s="97" t="s">
        <v>763</v>
      </c>
    </row>
    <row r="189" spans="1:17">
      <c r="A189" s="98">
        <v>188</v>
      </c>
      <c r="B189" s="99" t="s">
        <v>771</v>
      </c>
      <c r="C189" s="99" t="s">
        <v>771</v>
      </c>
      <c r="D189" s="99" t="s">
        <v>772</v>
      </c>
      <c r="E189" s="99" t="s">
        <v>36</v>
      </c>
      <c r="F189" s="99" t="s">
        <v>116</v>
      </c>
      <c r="G189" s="99" t="s">
        <v>121</v>
      </c>
      <c r="H189" s="100">
        <v>18105.57525182455</v>
      </c>
      <c r="I189" s="100">
        <v>27249.075977076121</v>
      </c>
      <c r="J189" s="100">
        <f t="shared" si="2"/>
        <v>22677.325614450336</v>
      </c>
      <c r="K189" s="100">
        <v>18998.093703150444</v>
      </c>
      <c r="L189" s="100">
        <v>28288.436769240383</v>
      </c>
      <c r="M189" s="100">
        <v>16402.050247307394</v>
      </c>
      <c r="N189" s="100">
        <v>20898.048923077273</v>
      </c>
      <c r="O189" s="100">
        <v>35444.706373926027</v>
      </c>
      <c r="P189" s="100">
        <v>53342.316920562022</v>
      </c>
      <c r="Q189" s="97" t="s">
        <v>737</v>
      </c>
    </row>
    <row r="190" spans="1:17">
      <c r="A190" s="98">
        <v>189</v>
      </c>
      <c r="B190" s="99" t="s">
        <v>382</v>
      </c>
      <c r="C190" s="99" t="s">
        <v>382</v>
      </c>
      <c r="D190" s="99" t="s">
        <v>383</v>
      </c>
      <c r="E190" s="99" t="s">
        <v>36</v>
      </c>
      <c r="F190" s="99" t="s">
        <v>119</v>
      </c>
      <c r="G190" s="99" t="s">
        <v>319</v>
      </c>
      <c r="H190" s="100">
        <v>8044.5442987763327</v>
      </c>
      <c r="I190" s="100">
        <v>12559.838390197427</v>
      </c>
      <c r="J190" s="100">
        <f t="shared" si="2"/>
        <v>10302.191344486881</v>
      </c>
      <c r="K190" s="100">
        <v>8024.091060156461</v>
      </c>
      <c r="L190" s="100">
        <v>12527.401245654255</v>
      </c>
      <c r="M190" s="100">
        <v>6319.8096480419072</v>
      </c>
      <c r="N190" s="100">
        <v>8888.7872987965766</v>
      </c>
      <c r="O190" s="100">
        <v>15561.873746167923</v>
      </c>
      <c r="P190" s="100">
        <v>24310.214174922203</v>
      </c>
      <c r="Q190" s="97" t="s">
        <v>737</v>
      </c>
    </row>
    <row r="191" spans="1:17">
      <c r="A191" s="98">
        <v>190</v>
      </c>
      <c r="B191" s="99" t="s">
        <v>644</v>
      </c>
      <c r="C191" s="99" t="s">
        <v>644</v>
      </c>
      <c r="D191" s="99" t="s">
        <v>645</v>
      </c>
      <c r="E191" s="99" t="s">
        <v>36</v>
      </c>
      <c r="F191" s="99" t="s">
        <v>119</v>
      </c>
      <c r="G191" s="99" t="s">
        <v>319</v>
      </c>
      <c r="H191" s="100">
        <v>6894.6450595402684</v>
      </c>
      <c r="I191" s="100">
        <v>10880.970369123299</v>
      </c>
      <c r="J191" s="100">
        <f t="shared" si="2"/>
        <v>8887.8077143317842</v>
      </c>
      <c r="K191" s="100">
        <v>6769.8461075822788</v>
      </c>
      <c r="L191" s="100">
        <v>10726.034880445595</v>
      </c>
      <c r="M191" s="100">
        <v>5167.4863077208229</v>
      </c>
      <c r="N191" s="100">
        <v>7516.2201265066087</v>
      </c>
      <c r="O191" s="100">
        <v>13289.417352860626</v>
      </c>
      <c r="P191" s="100">
        <v>20992.065864234417</v>
      </c>
      <c r="Q191" s="97" t="s">
        <v>737</v>
      </c>
    </row>
    <row r="192" spans="1:17">
      <c r="A192" s="98">
        <v>191</v>
      </c>
      <c r="B192" s="99" t="s">
        <v>640</v>
      </c>
      <c r="C192" s="99" t="s">
        <v>640</v>
      </c>
      <c r="D192" s="99" t="s">
        <v>641</v>
      </c>
      <c r="E192" s="99" t="s">
        <v>36</v>
      </c>
      <c r="F192" s="99" t="s">
        <v>114</v>
      </c>
      <c r="G192" s="99" t="s">
        <v>322</v>
      </c>
      <c r="H192" s="100">
        <v>7719.452700415648</v>
      </c>
      <c r="I192" s="100">
        <v>12609.986550551284</v>
      </c>
      <c r="J192" s="100">
        <f t="shared" si="2"/>
        <v>10164.719625483467</v>
      </c>
      <c r="K192" s="100">
        <v>8502.114157772301</v>
      </c>
      <c r="L192" s="100">
        <v>13511.702950482653</v>
      </c>
      <c r="M192" s="100">
        <v>5876.7546290642949</v>
      </c>
      <c r="N192" s="100">
        <v>9004.0250438599905</v>
      </c>
      <c r="O192" s="100">
        <v>15366.342545447391</v>
      </c>
      <c r="P192" s="100">
        <v>25101.439227527389</v>
      </c>
      <c r="Q192" s="97" t="s">
        <v>738</v>
      </c>
    </row>
    <row r="193" spans="1:17">
      <c r="A193" s="98">
        <v>192</v>
      </c>
      <c r="B193" s="99" t="s">
        <v>636</v>
      </c>
      <c r="C193" s="99" t="s">
        <v>636</v>
      </c>
      <c r="D193" s="99" t="s">
        <v>637</v>
      </c>
      <c r="E193" s="99" t="s">
        <v>36</v>
      </c>
      <c r="F193" s="99" t="s">
        <v>115</v>
      </c>
      <c r="G193" s="99" t="s">
        <v>325</v>
      </c>
      <c r="H193" s="100">
        <v>4389.129520020444</v>
      </c>
      <c r="I193" s="100">
        <v>7222.8847107671236</v>
      </c>
      <c r="J193" s="100">
        <f t="shared" si="2"/>
        <v>5806.0071153937843</v>
      </c>
      <c r="K193" s="100">
        <v>4036.9716853618952</v>
      </c>
      <c r="L193" s="100">
        <v>6801.0375707708099</v>
      </c>
      <c r="M193" s="100">
        <v>2656.6888941631305</v>
      </c>
      <c r="N193" s="100">
        <v>4525.5334107801164</v>
      </c>
      <c r="O193" s="100">
        <v>8337.9619452588249</v>
      </c>
      <c r="P193" s="100">
        <v>13762.152258601551</v>
      </c>
      <c r="Q193" s="97" t="s">
        <v>737</v>
      </c>
    </row>
    <row r="194" spans="1:17">
      <c r="A194" s="98">
        <v>193</v>
      </c>
      <c r="B194" s="99" t="s">
        <v>654</v>
      </c>
      <c r="C194" s="99" t="s">
        <v>654</v>
      </c>
      <c r="D194" s="99" t="s">
        <v>655</v>
      </c>
      <c r="E194" s="99" t="s">
        <v>36</v>
      </c>
      <c r="F194" s="99" t="s">
        <v>115</v>
      </c>
      <c r="G194" s="99" t="s">
        <v>322</v>
      </c>
      <c r="H194" s="100">
        <v>9333.8572592925611</v>
      </c>
      <c r="I194" s="100">
        <v>14442.252278917929</v>
      </c>
      <c r="J194" s="100">
        <f t="shared" si="2"/>
        <v>11888.054769105245</v>
      </c>
      <c r="K194" s="100">
        <v>9430.4006026258376</v>
      </c>
      <c r="L194" s="100">
        <v>14547.165171095672</v>
      </c>
      <c r="M194" s="100">
        <v>7611.8406075269795</v>
      </c>
      <c r="N194" s="100">
        <v>10427.764440470526</v>
      </c>
      <c r="O194" s="100">
        <v>18109.842629115916</v>
      </c>
      <c r="P194" s="100">
        <v>28030.654606491644</v>
      </c>
      <c r="Q194" s="97" t="s">
        <v>737</v>
      </c>
    </row>
    <row r="195" spans="1:17">
      <c r="A195" s="98">
        <v>194</v>
      </c>
      <c r="B195" s="99" t="s">
        <v>642</v>
      </c>
      <c r="C195" s="99" t="s">
        <v>642</v>
      </c>
      <c r="D195" s="99" t="s">
        <v>643</v>
      </c>
      <c r="E195" s="99" t="s">
        <v>36</v>
      </c>
      <c r="F195" s="99" t="s">
        <v>114</v>
      </c>
      <c r="G195" s="99" t="s">
        <v>325</v>
      </c>
      <c r="H195" s="100">
        <v>9470.3979456920188</v>
      </c>
      <c r="I195" s="100">
        <v>14641.603477831542</v>
      </c>
      <c r="J195" s="100">
        <f t="shared" ref="J195:J258" si="3">IF(H195=0,I195,AVERAGE(H195:I195))</f>
        <v>12056.000711761781</v>
      </c>
      <c r="K195" s="100">
        <v>9579.331448820074</v>
      </c>
      <c r="L195" s="100">
        <v>14761.061999243753</v>
      </c>
      <c r="M195" s="100">
        <v>7748.6691351691807</v>
      </c>
      <c r="N195" s="100">
        <v>10590.745036890732</v>
      </c>
      <c r="O195" s="100">
        <v>18379.677363471557</v>
      </c>
      <c r="P195" s="100">
        <v>28424.656300255268</v>
      </c>
      <c r="Q195" s="97" t="s">
        <v>737</v>
      </c>
    </row>
    <row r="196" spans="1:17">
      <c r="A196" s="98">
        <v>195</v>
      </c>
      <c r="B196" s="99" t="s">
        <v>646</v>
      </c>
      <c r="C196" s="99" t="s">
        <v>646</v>
      </c>
      <c r="D196" s="99" t="s">
        <v>647</v>
      </c>
      <c r="E196" s="99" t="s">
        <v>36</v>
      </c>
      <c r="F196" s="99" t="s">
        <v>114</v>
      </c>
      <c r="G196" s="99" t="s">
        <v>322</v>
      </c>
      <c r="H196" s="100">
        <v>11862.083303401178</v>
      </c>
      <c r="I196" s="100">
        <v>18133.495572826512</v>
      </c>
      <c r="J196" s="100">
        <f t="shared" si="3"/>
        <v>14997.789438113845</v>
      </c>
      <c r="K196" s="100">
        <v>12188.046356784687</v>
      </c>
      <c r="L196" s="100">
        <v>18507.73945804574</v>
      </c>
      <c r="M196" s="100">
        <v>10145.39640165854</v>
      </c>
      <c r="N196" s="100">
        <v>13445.559351420652</v>
      </c>
      <c r="O196" s="100">
        <v>23106.179039841369</v>
      </c>
      <c r="P196" s="100">
        <v>35326.101625718409</v>
      </c>
      <c r="Q196" s="97" t="s">
        <v>737</v>
      </c>
    </row>
    <row r="197" spans="1:17">
      <c r="A197" s="98">
        <v>196</v>
      </c>
      <c r="B197" s="99" t="s">
        <v>773</v>
      </c>
      <c r="C197" s="99" t="s">
        <v>648</v>
      </c>
      <c r="D197" s="99" t="s">
        <v>649</v>
      </c>
      <c r="E197" s="99" t="s">
        <v>36</v>
      </c>
      <c r="F197" s="99" t="s">
        <v>116</v>
      </c>
      <c r="G197" s="99" t="s">
        <v>121</v>
      </c>
      <c r="H197" s="100">
        <v>8821.9997045849032</v>
      </c>
      <c r="I197" s="100">
        <v>13265.234700888901</v>
      </c>
      <c r="J197" s="100">
        <f t="shared" si="3"/>
        <v>11043.617202736903</v>
      </c>
      <c r="K197" s="100">
        <v>9234.2677603341945</v>
      </c>
      <c r="L197" s="100">
        <v>13767.535896566336</v>
      </c>
      <c r="M197" s="100">
        <v>7096.6682123496075</v>
      </c>
      <c r="N197" s="100">
        <v>9327.8616455757856</v>
      </c>
      <c r="O197" s="100">
        <v>17307.704780431028</v>
      </c>
      <c r="P197" s="100">
        <v>26024.798654979913</v>
      </c>
      <c r="Q197" s="97" t="s">
        <v>738</v>
      </c>
    </row>
    <row r="198" spans="1:17">
      <c r="A198" s="98">
        <v>197</v>
      </c>
      <c r="B198" s="99" t="s">
        <v>650</v>
      </c>
      <c r="C198" s="99" t="s">
        <v>650</v>
      </c>
      <c r="D198" s="99" t="s">
        <v>651</v>
      </c>
      <c r="E198" s="99" t="s">
        <v>36</v>
      </c>
      <c r="F198" s="99" t="s">
        <v>117</v>
      </c>
      <c r="G198" s="99" t="s">
        <v>325</v>
      </c>
      <c r="H198" s="100">
        <v>4530.6509924879692</v>
      </c>
      <c r="I198" s="100">
        <v>6532.1777289598904</v>
      </c>
      <c r="J198" s="100">
        <f t="shared" si="3"/>
        <v>5531.4143607239293</v>
      </c>
      <c r="K198" s="100">
        <v>4463.7896753112127</v>
      </c>
      <c r="L198" s="100">
        <v>6453.1994959056055</v>
      </c>
      <c r="M198" s="100">
        <v>2858.1647479934836</v>
      </c>
      <c r="N198" s="100">
        <v>3888.1309358764356</v>
      </c>
      <c r="O198" s="100">
        <v>8256.7036752200002</v>
      </c>
      <c r="P198" s="100">
        <v>11904.306015033793</v>
      </c>
      <c r="Q198" s="97" t="s">
        <v>738</v>
      </c>
    </row>
    <row r="199" spans="1:17">
      <c r="A199" s="98">
        <v>198</v>
      </c>
      <c r="B199" s="99" t="s">
        <v>774</v>
      </c>
      <c r="C199" s="99" t="s">
        <v>774</v>
      </c>
      <c r="D199" s="99" t="s">
        <v>653</v>
      </c>
      <c r="E199" s="99" t="s">
        <v>36</v>
      </c>
      <c r="F199" s="99" t="s">
        <v>115</v>
      </c>
      <c r="G199" s="99" t="s">
        <v>322</v>
      </c>
      <c r="H199" s="100">
        <v>5574.3955681180278</v>
      </c>
      <c r="I199" s="100">
        <v>8953.3887381790701</v>
      </c>
      <c r="J199" s="100">
        <f t="shared" si="3"/>
        <v>7263.8921531485485</v>
      </c>
      <c r="K199" s="100">
        <v>5329.7927496419052</v>
      </c>
      <c r="L199" s="100">
        <v>8657.8075554915813</v>
      </c>
      <c r="M199" s="100">
        <v>3844.4536000693233</v>
      </c>
      <c r="N199" s="100">
        <v>5940.315865223175</v>
      </c>
      <c r="O199" s="100">
        <v>10680.311011042044</v>
      </c>
      <c r="P199" s="100">
        <v>17182.355004212026</v>
      </c>
      <c r="Q199" s="97" t="s">
        <v>737</v>
      </c>
    </row>
    <row r="200" spans="1:17">
      <c r="A200" s="98">
        <v>199</v>
      </c>
      <c r="B200" s="99" t="s">
        <v>775</v>
      </c>
      <c r="C200" s="99" t="s">
        <v>775</v>
      </c>
      <c r="D200" s="99" t="s">
        <v>776</v>
      </c>
      <c r="E200" s="99" t="s">
        <v>36</v>
      </c>
      <c r="F200" s="99" t="s">
        <v>114</v>
      </c>
      <c r="G200" s="99" t="s">
        <v>322</v>
      </c>
      <c r="H200" s="100">
        <v>17158.887253220382</v>
      </c>
      <c r="I200" s="100">
        <v>25866.899041428172</v>
      </c>
      <c r="J200" s="100">
        <f t="shared" si="3"/>
        <v>21512.893147324277</v>
      </c>
      <c r="K200" s="100">
        <v>17965.500060684284</v>
      </c>
      <c r="L200" s="100">
        <v>26805.409508377779</v>
      </c>
      <c r="M200" s="100">
        <v>15453.366536969288</v>
      </c>
      <c r="N200" s="100">
        <v>19768.043071305226</v>
      </c>
      <c r="O200" s="100">
        <v>33573.840543695056</v>
      </c>
      <c r="P200" s="100">
        <v>50610.554800775149</v>
      </c>
      <c r="Q200" s="97" t="s">
        <v>737</v>
      </c>
    </row>
    <row r="201" spans="1:17">
      <c r="A201" s="98">
        <v>200</v>
      </c>
      <c r="B201" s="99" t="s">
        <v>777</v>
      </c>
      <c r="C201" s="99" t="s">
        <v>777</v>
      </c>
      <c r="D201" s="99" t="s">
        <v>635</v>
      </c>
      <c r="E201" s="99" t="s">
        <v>36</v>
      </c>
      <c r="F201" s="99" t="s">
        <v>114</v>
      </c>
      <c r="G201" s="99" t="s">
        <v>121</v>
      </c>
      <c r="H201" s="100">
        <v>8909.6044127128171</v>
      </c>
      <c r="I201" s="100">
        <v>13822.837540070383</v>
      </c>
      <c r="J201" s="100">
        <f t="shared" si="3"/>
        <v>11366.2209763916</v>
      </c>
      <c r="K201" s="100">
        <v>8967.6496299481059</v>
      </c>
      <c r="L201" s="100">
        <v>13882.55493213204</v>
      </c>
      <c r="M201" s="100">
        <v>7186.6933940752297</v>
      </c>
      <c r="N201" s="100">
        <v>9921.358739782534</v>
      </c>
      <c r="O201" s="100">
        <v>17271.42473936285</v>
      </c>
      <c r="P201" s="100">
        <v>26806.430937017532</v>
      </c>
      <c r="Q201" s="97" t="s">
        <v>737</v>
      </c>
    </row>
    <row r="202" spans="1:17">
      <c r="A202" s="98">
        <v>201</v>
      </c>
      <c r="B202" s="99" t="s">
        <v>638</v>
      </c>
      <c r="C202" s="99" t="s">
        <v>638</v>
      </c>
      <c r="D202" s="99" t="s">
        <v>639</v>
      </c>
      <c r="E202" s="99" t="s">
        <v>36</v>
      </c>
      <c r="F202" s="99" t="s">
        <v>119</v>
      </c>
      <c r="G202" s="99" t="s">
        <v>325</v>
      </c>
      <c r="H202" s="100">
        <v>6994.4389968920086</v>
      </c>
      <c r="I202" s="100">
        <v>10092.77312187857</v>
      </c>
      <c r="J202" s="100">
        <f t="shared" si="3"/>
        <v>8543.606059385289</v>
      </c>
      <c r="K202" s="100">
        <v>5190.1359645227085</v>
      </c>
      <c r="L202" s="100">
        <v>7916.2483532340075</v>
      </c>
      <c r="M202" s="100">
        <v>4011.5022505407892</v>
      </c>
      <c r="N202" s="100">
        <v>5463.6971759674379</v>
      </c>
      <c r="O202" s="100">
        <v>13806.812746694919</v>
      </c>
      <c r="P202" s="100">
        <v>19922.83135939464</v>
      </c>
      <c r="Q202" s="97" t="s">
        <v>738</v>
      </c>
    </row>
    <row r="203" spans="1:17">
      <c r="A203" s="98">
        <v>202</v>
      </c>
      <c r="B203" s="99" t="s">
        <v>656</v>
      </c>
      <c r="C203" s="99" t="s">
        <v>656</v>
      </c>
      <c r="D203" s="99" t="s">
        <v>657</v>
      </c>
      <c r="E203" s="99" t="s">
        <v>36</v>
      </c>
      <c r="F203" s="99" t="s">
        <v>119</v>
      </c>
      <c r="G203" s="99" t="s">
        <v>319</v>
      </c>
      <c r="H203" s="100">
        <v>5158.322112233398</v>
      </c>
      <c r="I203" s="100">
        <v>6204.9328962083482</v>
      </c>
      <c r="J203" s="100">
        <f t="shared" si="3"/>
        <v>5681.6275042208727</v>
      </c>
      <c r="K203" s="100">
        <v>3999.362378568017</v>
      </c>
      <c r="L203" s="100">
        <v>4804.0728918883215</v>
      </c>
      <c r="M203" s="100">
        <v>3285.9421080158268</v>
      </c>
      <c r="N203" s="100">
        <v>3075.1858673943379</v>
      </c>
      <c r="O203" s="100">
        <v>10165.092720809378</v>
      </c>
      <c r="P203" s="100">
        <v>12227.564863926094</v>
      </c>
      <c r="Q203" s="97" t="s">
        <v>738</v>
      </c>
    </row>
    <row r="204" spans="1:17">
      <c r="A204" s="98">
        <v>203</v>
      </c>
      <c r="B204" s="99" t="s">
        <v>658</v>
      </c>
      <c r="C204" s="99" t="s">
        <v>658</v>
      </c>
      <c r="D204" s="99" t="s">
        <v>659</v>
      </c>
      <c r="E204" s="99" t="s">
        <v>36</v>
      </c>
      <c r="F204" s="99" t="s">
        <v>115</v>
      </c>
      <c r="G204" s="99" t="s">
        <v>325</v>
      </c>
      <c r="H204" s="100">
        <v>5395.6918326709156</v>
      </c>
      <c r="I204" s="100">
        <v>8447.8485030268603</v>
      </c>
      <c r="J204" s="100">
        <f t="shared" si="3"/>
        <v>6921.7701678488884</v>
      </c>
      <c r="K204" s="100">
        <v>5934.18195445122</v>
      </c>
      <c r="L204" s="100">
        <v>9074.8395260975631</v>
      </c>
      <c r="M204" s="100">
        <v>4129.5177939024388</v>
      </c>
      <c r="N204" s="100">
        <v>5951.0327870426845</v>
      </c>
      <c r="O204" s="100">
        <v>10791.383665341831</v>
      </c>
      <c r="P204" s="100">
        <v>16895.697006053721</v>
      </c>
      <c r="Q204" s="97" t="s">
        <v>738</v>
      </c>
    </row>
    <row r="205" spans="1:17">
      <c r="A205" s="98">
        <v>204</v>
      </c>
      <c r="B205" s="99" t="s">
        <v>666</v>
      </c>
      <c r="C205" s="99" t="s">
        <v>666</v>
      </c>
      <c r="D205" s="99" t="s">
        <v>667</v>
      </c>
      <c r="E205" s="99" t="s">
        <v>36</v>
      </c>
      <c r="F205" s="99" t="s">
        <v>116</v>
      </c>
      <c r="G205" s="99" t="s">
        <v>121</v>
      </c>
      <c r="H205" s="100">
        <v>12043.251088319008</v>
      </c>
      <c r="I205" s="100">
        <v>17396.82378157854</v>
      </c>
      <c r="J205" s="100">
        <f t="shared" si="3"/>
        <v>14720.037434948774</v>
      </c>
      <c r="K205" s="100">
        <v>12193.400144159521</v>
      </c>
      <c r="L205" s="100">
        <v>17573.807654014417</v>
      </c>
      <c r="M205" s="100">
        <v>8589.2995398537732</v>
      </c>
      <c r="N205" s="100">
        <v>11193.375210418115</v>
      </c>
      <c r="O205" s="100">
        <v>23138.698315987309</v>
      </c>
      <c r="P205" s="100">
        <v>33424.517531546851</v>
      </c>
      <c r="Q205" s="97" t="s">
        <v>738</v>
      </c>
    </row>
    <row r="206" spans="1:17">
      <c r="A206" s="98">
        <v>205</v>
      </c>
      <c r="B206" s="99" t="s">
        <v>664</v>
      </c>
      <c r="C206" s="99" t="s">
        <v>664</v>
      </c>
      <c r="D206" s="99" t="s">
        <v>665</v>
      </c>
      <c r="E206" s="99" t="s">
        <v>36</v>
      </c>
      <c r="F206" s="99" t="s">
        <v>120</v>
      </c>
      <c r="G206" s="99" t="s">
        <v>121</v>
      </c>
      <c r="H206" s="100">
        <v>21251.009325530304</v>
      </c>
      <c r="I206" s="100">
        <v>31605.84301552585</v>
      </c>
      <c r="J206" s="100">
        <f t="shared" si="3"/>
        <v>26428.426170528077</v>
      </c>
      <c r="K206" s="100">
        <v>21834.14326648842</v>
      </c>
      <c r="L206" s="100">
        <v>32279.991172014263</v>
      </c>
      <c r="M206" s="100">
        <v>18940.073106060609</v>
      </c>
      <c r="N206" s="100">
        <v>23854.260684046352</v>
      </c>
      <c r="O206" s="100">
        <v>41726.356810678757</v>
      </c>
      <c r="P206" s="100">
        <v>62058.072760985007</v>
      </c>
      <c r="Q206" s="97" t="s">
        <v>738</v>
      </c>
    </row>
    <row r="207" spans="1:17">
      <c r="A207" s="98">
        <v>206</v>
      </c>
      <c r="B207" s="99" t="s">
        <v>668</v>
      </c>
      <c r="C207" s="99" t="s">
        <v>668</v>
      </c>
      <c r="D207" s="99" t="s">
        <v>669</v>
      </c>
      <c r="E207" s="99" t="s">
        <v>36</v>
      </c>
      <c r="F207" s="99" t="s">
        <v>115</v>
      </c>
      <c r="G207" s="99" t="s">
        <v>325</v>
      </c>
      <c r="H207" s="100">
        <v>7508.8150034694736</v>
      </c>
      <c r="I207" s="100">
        <v>11743.858825263129</v>
      </c>
      <c r="J207" s="100">
        <f t="shared" si="3"/>
        <v>9626.3369143663003</v>
      </c>
      <c r="K207" s="100">
        <v>7153.552320934622</v>
      </c>
      <c r="L207" s="100">
        <v>11344.670777452211</v>
      </c>
      <c r="M207" s="100">
        <v>5214.2507505494168</v>
      </c>
      <c r="N207" s="100">
        <v>7843.4880834774413</v>
      </c>
      <c r="O207" s="100">
        <v>14679.207714732578</v>
      </c>
      <c r="P207" s="100">
        <v>22958.421933271646</v>
      </c>
      <c r="Q207" s="97" t="s">
        <v>738</v>
      </c>
    </row>
    <row r="208" spans="1:17">
      <c r="A208" s="98">
        <v>207</v>
      </c>
      <c r="B208" s="99" t="s">
        <v>620</v>
      </c>
      <c r="C208" s="99" t="s">
        <v>620</v>
      </c>
      <c r="D208" s="99" t="s">
        <v>621</v>
      </c>
      <c r="E208" s="99" t="s">
        <v>36</v>
      </c>
      <c r="F208" s="99" t="s">
        <v>116</v>
      </c>
      <c r="G208" s="99" t="s">
        <v>322</v>
      </c>
      <c r="H208" s="100">
        <v>9763.465067814037</v>
      </c>
      <c r="I208" s="100">
        <v>15069.485332667586</v>
      </c>
      <c r="J208" s="100">
        <f t="shared" si="3"/>
        <v>12416.475200240811</v>
      </c>
      <c r="K208" s="100">
        <v>9898.9924644506118</v>
      </c>
      <c r="L208" s="100">
        <v>15220.164187092689</v>
      </c>
      <c r="M208" s="100">
        <v>8042.3540717087399</v>
      </c>
      <c r="N208" s="100">
        <v>10940.562044656921</v>
      </c>
      <c r="O208" s="100">
        <v>18958.843113487008</v>
      </c>
      <c r="P208" s="100">
        <v>29270.330549795031</v>
      </c>
      <c r="Q208" s="97" t="s">
        <v>737</v>
      </c>
    </row>
    <row r="209" spans="1:17">
      <c r="A209" s="98">
        <v>208</v>
      </c>
      <c r="B209" s="99" t="s">
        <v>672</v>
      </c>
      <c r="C209" s="99" t="s">
        <v>672</v>
      </c>
      <c r="D209" s="99" t="s">
        <v>673</v>
      </c>
      <c r="E209" s="99" t="s">
        <v>36</v>
      </c>
      <c r="F209" s="99" t="s">
        <v>116</v>
      </c>
      <c r="G209" s="99" t="s">
        <v>325</v>
      </c>
      <c r="H209" s="100">
        <v>6435.663122342763</v>
      </c>
      <c r="I209" s="100">
        <v>10210.850700965701</v>
      </c>
      <c r="J209" s="100">
        <f t="shared" si="3"/>
        <v>8323.2569116542327</v>
      </c>
      <c r="K209" s="100">
        <v>6269.2146101346052</v>
      </c>
      <c r="L209" s="100">
        <v>10007.020034888188</v>
      </c>
      <c r="M209" s="100">
        <v>4707.5367913007194</v>
      </c>
      <c r="N209" s="100">
        <v>6968.3603504710309</v>
      </c>
      <c r="O209" s="100">
        <v>12382.367063576175</v>
      </c>
      <c r="P209" s="100">
        <v>19667.627959083791</v>
      </c>
      <c r="Q209" s="97" t="s">
        <v>737</v>
      </c>
    </row>
    <row r="210" spans="1:17">
      <c r="A210" s="98">
        <v>209</v>
      </c>
      <c r="B210" s="99" t="s">
        <v>720</v>
      </c>
      <c r="C210" s="99" t="s">
        <v>720</v>
      </c>
      <c r="D210" s="99" t="s">
        <v>721</v>
      </c>
      <c r="E210" s="99" t="s">
        <v>36</v>
      </c>
      <c r="F210" s="99" t="s">
        <v>116</v>
      </c>
      <c r="G210" s="99" t="s">
        <v>121</v>
      </c>
      <c r="H210" s="100">
        <v>11408.888953144291</v>
      </c>
      <c r="I210" s="100">
        <v>17471.825857762411</v>
      </c>
      <c r="J210" s="100">
        <f t="shared" si="3"/>
        <v>14440.357405453351</v>
      </c>
      <c r="K210" s="100">
        <v>11693.727631326217</v>
      </c>
      <c r="L210" s="100">
        <v>17797.791115095533</v>
      </c>
      <c r="M210" s="100">
        <v>9691.2466729835287</v>
      </c>
      <c r="N210" s="100">
        <v>12904.607877930559</v>
      </c>
      <c r="O210" s="100">
        <v>22210.566308297864</v>
      </c>
      <c r="P210" s="100">
        <v>34018.364376742436</v>
      </c>
      <c r="Q210" s="97" t="s">
        <v>737</v>
      </c>
    </row>
    <row r="211" spans="1:17">
      <c r="A211" s="98">
        <v>210</v>
      </c>
      <c r="B211" s="99" t="s">
        <v>778</v>
      </c>
      <c r="C211" s="99" t="s">
        <v>778</v>
      </c>
      <c r="D211" s="99" t="s">
        <v>779</v>
      </c>
      <c r="E211" s="99" t="s">
        <v>36</v>
      </c>
      <c r="F211" s="99" t="s">
        <v>116</v>
      </c>
      <c r="G211" s="99" t="s">
        <v>121</v>
      </c>
      <c r="H211" s="100">
        <v>11408.888953144291</v>
      </c>
      <c r="I211" s="100">
        <v>17471.825857762411</v>
      </c>
      <c r="J211" s="100">
        <f t="shared" si="3"/>
        <v>14440.357405453351</v>
      </c>
      <c r="K211" s="100">
        <v>11693.727631326217</v>
      </c>
      <c r="L211" s="100">
        <v>17797.791115095533</v>
      </c>
      <c r="M211" s="100">
        <v>9691.2466729835287</v>
      </c>
      <c r="N211" s="100">
        <v>12904.607877930559</v>
      </c>
      <c r="O211" s="100">
        <v>22210.566308297864</v>
      </c>
      <c r="P211" s="100">
        <v>34018.364376742436</v>
      </c>
      <c r="Q211" s="97" t="s">
        <v>737</v>
      </c>
    </row>
    <row r="212" spans="1:17">
      <c r="A212" s="98">
        <v>211</v>
      </c>
      <c r="B212" s="99" t="s">
        <v>674</v>
      </c>
      <c r="C212" s="99" t="s">
        <v>674</v>
      </c>
      <c r="D212" s="99" t="s">
        <v>675</v>
      </c>
      <c r="E212" s="99" t="s">
        <v>36</v>
      </c>
      <c r="F212" s="99" t="s">
        <v>114</v>
      </c>
      <c r="G212" s="99" t="s">
        <v>325</v>
      </c>
      <c r="H212" s="100">
        <v>7412.3156239746049</v>
      </c>
      <c r="I212" s="100">
        <v>11460.189283880885</v>
      </c>
      <c r="J212" s="100">
        <f t="shared" si="3"/>
        <v>9436.2524539277456</v>
      </c>
      <c r="K212" s="100">
        <v>7382.8357480936565</v>
      </c>
      <c r="L212" s="100">
        <v>11427.070504887637</v>
      </c>
      <c r="M212" s="100">
        <v>4572.9810877086902</v>
      </c>
      <c r="N212" s="100">
        <v>7129.1575745742221</v>
      </c>
      <c r="O212" s="100">
        <v>14710.481587340002</v>
      </c>
      <c r="P212" s="100">
        <v>22743.891652790004</v>
      </c>
      <c r="Q212" s="97" t="s">
        <v>738</v>
      </c>
    </row>
    <row r="213" spans="1:17">
      <c r="A213" s="98">
        <v>212</v>
      </c>
      <c r="B213" s="99" t="s">
        <v>670</v>
      </c>
      <c r="C213" s="99" t="s">
        <v>670</v>
      </c>
      <c r="D213" s="99" t="s">
        <v>671</v>
      </c>
      <c r="E213" s="99" t="s">
        <v>36</v>
      </c>
      <c r="F213" s="99" t="s">
        <v>114</v>
      </c>
      <c r="G213" s="99" t="s">
        <v>325</v>
      </c>
      <c r="H213" s="100">
        <v>17486.419741643789</v>
      </c>
      <c r="I213" s="100">
        <v>26345.100784601964</v>
      </c>
      <c r="J213" s="100">
        <f t="shared" si="3"/>
        <v>21915.760263122876</v>
      </c>
      <c r="K213" s="100">
        <v>18322.753945539484</v>
      </c>
      <c r="L213" s="100">
        <v>27318.503167393501</v>
      </c>
      <c r="M213" s="100">
        <v>15781.589496203944</v>
      </c>
      <c r="N213" s="100">
        <v>20158.999362194751</v>
      </c>
      <c r="O213" s="100">
        <v>34221.11751539573</v>
      </c>
      <c r="P213" s="100">
        <v>51555.682283318325</v>
      </c>
      <c r="Q213" s="97" t="s">
        <v>737</v>
      </c>
    </row>
    <row r="214" spans="1:17">
      <c r="A214" s="98">
        <v>213</v>
      </c>
      <c r="B214" s="99" t="s">
        <v>586</v>
      </c>
      <c r="C214" s="99" t="s">
        <v>586</v>
      </c>
      <c r="D214" s="99" t="s">
        <v>587</v>
      </c>
      <c r="E214" s="99" t="s">
        <v>36</v>
      </c>
      <c r="F214" s="99" t="s">
        <v>114</v>
      </c>
      <c r="G214" s="99" t="s">
        <v>325</v>
      </c>
      <c r="H214" s="100">
        <v>11214.923891338667</v>
      </c>
      <c r="I214" s="100">
        <v>17188.634315095187</v>
      </c>
      <c r="J214" s="100">
        <f t="shared" si="3"/>
        <v>14201.779103216926</v>
      </c>
      <c r="K214" s="100">
        <v>11482.161529319692</v>
      </c>
      <c r="L214" s="100">
        <v>17493.936545546996</v>
      </c>
      <c r="M214" s="100">
        <v>9496.8727136843372</v>
      </c>
      <c r="N214" s="100">
        <v>12673.083177920789</v>
      </c>
      <c r="O214" s="100">
        <v>21827.248248994456</v>
      </c>
      <c r="P214" s="100">
        <v>33458.658951952035</v>
      </c>
      <c r="Q214" s="97" t="s">
        <v>737</v>
      </c>
    </row>
    <row r="215" spans="1:17">
      <c r="A215" s="98">
        <v>214</v>
      </c>
      <c r="B215" s="99" t="s">
        <v>684</v>
      </c>
      <c r="C215" s="99" t="s">
        <v>684</v>
      </c>
      <c r="D215" s="99" t="s">
        <v>685</v>
      </c>
      <c r="E215" s="99" t="s">
        <v>36</v>
      </c>
      <c r="F215" s="99" t="s">
        <v>115</v>
      </c>
      <c r="G215" s="99" t="s">
        <v>322</v>
      </c>
      <c r="H215" s="100">
        <v>6798.7610767025762</v>
      </c>
      <c r="I215" s="100">
        <v>10740.978492420809</v>
      </c>
      <c r="J215" s="100">
        <f t="shared" si="3"/>
        <v>8769.8697845616916</v>
      </c>
      <c r="K215" s="100">
        <v>6665.2612905797205</v>
      </c>
      <c r="L215" s="100">
        <v>10575.828518224842</v>
      </c>
      <c r="M215" s="100">
        <v>5071.4001919840885</v>
      </c>
      <c r="N215" s="100">
        <v>7401.7690487940399</v>
      </c>
      <c r="O215" s="100">
        <v>13099.929298272436</v>
      </c>
      <c r="P215" s="100">
        <v>20715.383121243583</v>
      </c>
      <c r="Q215" s="97" t="s">
        <v>737</v>
      </c>
    </row>
    <row r="216" spans="1:17">
      <c r="A216" s="98">
        <v>215</v>
      </c>
      <c r="B216" s="99" t="s">
        <v>678</v>
      </c>
      <c r="C216" s="99" t="s">
        <v>678</v>
      </c>
      <c r="D216" s="99" t="s">
        <v>679</v>
      </c>
      <c r="E216" s="99" t="s">
        <v>36</v>
      </c>
      <c r="F216" s="99" t="s">
        <v>117</v>
      </c>
      <c r="G216" s="99" t="s">
        <v>319</v>
      </c>
      <c r="H216" s="100">
        <v>4336.4168507478789</v>
      </c>
      <c r="I216" s="100">
        <v>7145.9235199709974</v>
      </c>
      <c r="J216" s="100">
        <f t="shared" si="3"/>
        <v>5741.1701853594386</v>
      </c>
      <c r="K216" s="100">
        <v>3979.4756916992242</v>
      </c>
      <c r="L216" s="100">
        <v>6718.4609186538382</v>
      </c>
      <c r="M216" s="100">
        <v>2603.8651013812892</v>
      </c>
      <c r="N216" s="100">
        <v>4462.6133940181535</v>
      </c>
      <c r="O216" s="100">
        <v>8233.7899985269396</v>
      </c>
      <c r="P216" s="100">
        <v>13610.044622966618</v>
      </c>
      <c r="Q216" s="97" t="s">
        <v>763</v>
      </c>
    </row>
    <row r="217" spans="1:17">
      <c r="A217" s="98">
        <v>216</v>
      </c>
      <c r="B217" s="99" t="s">
        <v>610</v>
      </c>
      <c r="C217" s="99" t="s">
        <v>610</v>
      </c>
      <c r="D217" s="99" t="s">
        <v>611</v>
      </c>
      <c r="E217" s="99" t="s">
        <v>36</v>
      </c>
      <c r="F217" s="99" t="s">
        <v>119</v>
      </c>
      <c r="G217" s="99" t="s">
        <v>322</v>
      </c>
      <c r="H217" s="100">
        <v>8716.2980829910957</v>
      </c>
      <c r="I217" s="100">
        <v>12621.600022760047</v>
      </c>
      <c r="J217" s="100">
        <f t="shared" si="3"/>
        <v>10668.94905287557</v>
      </c>
      <c r="K217" s="100">
        <v>8411.5608462913024</v>
      </c>
      <c r="L217" s="100">
        <v>12263.072222396389</v>
      </c>
      <c r="M217" s="100">
        <v>7072.7311038309608</v>
      </c>
      <c r="N217" s="100">
        <v>8826.9031953414014</v>
      </c>
      <c r="O217" s="100">
        <v>14918.81579884756</v>
      </c>
      <c r="P217" s="100">
        <v>21603.130598956101</v>
      </c>
      <c r="Q217" s="97" t="s">
        <v>738</v>
      </c>
    </row>
    <row r="218" spans="1:17">
      <c r="A218" s="98">
        <v>217</v>
      </c>
      <c r="B218" s="99" t="s">
        <v>680</v>
      </c>
      <c r="C218" s="99" t="s">
        <v>680</v>
      </c>
      <c r="D218" s="99" t="s">
        <v>681</v>
      </c>
      <c r="E218" s="99" t="s">
        <v>36</v>
      </c>
      <c r="F218" s="99" t="s">
        <v>119</v>
      </c>
      <c r="G218" s="99" t="s">
        <v>325</v>
      </c>
      <c r="H218" s="100">
        <v>6965.5250703526954</v>
      </c>
      <c r="I218" s="100">
        <v>10984.456117635864</v>
      </c>
      <c r="J218" s="100">
        <f t="shared" si="3"/>
        <v>8974.9905939942801</v>
      </c>
      <c r="K218" s="100">
        <v>6847.1580082832052</v>
      </c>
      <c r="L218" s="100">
        <v>10837.071450508862</v>
      </c>
      <c r="M218" s="100">
        <v>5238.5157405915079</v>
      </c>
      <c r="N218" s="100">
        <v>7600.8254316438906</v>
      </c>
      <c r="O218" s="100">
        <v>13429.492003084239</v>
      </c>
      <c r="P218" s="100">
        <v>21196.597165859625</v>
      </c>
      <c r="Q218" s="97" t="s">
        <v>737</v>
      </c>
    </row>
    <row r="219" spans="1:17">
      <c r="A219" s="98">
        <v>218</v>
      </c>
      <c r="B219" s="99" t="s">
        <v>682</v>
      </c>
      <c r="C219" s="99" t="s">
        <v>682</v>
      </c>
      <c r="D219" s="99" t="s">
        <v>683</v>
      </c>
      <c r="E219" s="99" t="s">
        <v>36</v>
      </c>
      <c r="F219" s="99" t="s">
        <v>119</v>
      </c>
      <c r="G219" s="99" t="s">
        <v>325</v>
      </c>
      <c r="H219" s="100">
        <v>6722.2188895306763</v>
      </c>
      <c r="I219" s="100">
        <v>9839.0002066829256</v>
      </c>
      <c r="J219" s="100">
        <f t="shared" si="3"/>
        <v>8280.6095481068005</v>
      </c>
      <c r="K219" s="100">
        <v>5693.6015750022143</v>
      </c>
      <c r="L219" s="100">
        <v>8593.7324728140575</v>
      </c>
      <c r="M219" s="100">
        <v>4233.7053007637933</v>
      </c>
      <c r="N219" s="100">
        <v>5756.2851034778432</v>
      </c>
      <c r="O219" s="100">
        <v>12822.229198646392</v>
      </c>
      <c r="P219" s="100">
        <v>18767.302554235281</v>
      </c>
      <c r="Q219" s="97" t="s">
        <v>738</v>
      </c>
    </row>
    <row r="220" spans="1:17">
      <c r="A220" s="98">
        <v>219</v>
      </c>
      <c r="B220" s="99" t="s">
        <v>780</v>
      </c>
      <c r="C220" s="99" t="s">
        <v>781</v>
      </c>
      <c r="D220" s="99" t="s">
        <v>417</v>
      </c>
      <c r="E220" s="99" t="s">
        <v>782</v>
      </c>
      <c r="F220" s="99" t="s">
        <v>117</v>
      </c>
      <c r="G220" s="99" t="s">
        <v>325</v>
      </c>
      <c r="H220" s="100">
        <v>0</v>
      </c>
      <c r="I220" s="100">
        <v>4860.4074377794595</v>
      </c>
      <c r="J220" s="100">
        <f t="shared" si="3"/>
        <v>4860.4074377794595</v>
      </c>
      <c r="K220" s="100">
        <v>0</v>
      </c>
      <c r="L220" s="100">
        <v>4255.3229028820151</v>
      </c>
      <c r="M220" s="100">
        <v>0</v>
      </c>
      <c r="N220" s="100">
        <v>2684.1963984717868</v>
      </c>
      <c r="O220" s="100">
        <v>0</v>
      </c>
      <c r="P220" s="100">
        <v>9409.8946117641663</v>
      </c>
      <c r="Q220" s="97" t="s">
        <v>738</v>
      </c>
    </row>
    <row r="221" spans="1:17">
      <c r="A221" s="98">
        <v>220</v>
      </c>
      <c r="B221" s="99" t="s">
        <v>783</v>
      </c>
      <c r="C221" s="99" t="s">
        <v>558</v>
      </c>
      <c r="D221" s="99" t="s">
        <v>559</v>
      </c>
      <c r="E221" s="99" t="s">
        <v>784</v>
      </c>
      <c r="F221" s="99" t="s">
        <v>118</v>
      </c>
      <c r="G221" s="99" t="s">
        <v>325</v>
      </c>
      <c r="H221" s="100">
        <v>0</v>
      </c>
      <c r="I221" s="100">
        <v>5737.6917117046987</v>
      </c>
      <c r="J221" s="100">
        <f t="shared" si="3"/>
        <v>5737.6917117046987</v>
      </c>
      <c r="K221" s="100">
        <v>0</v>
      </c>
      <c r="L221" s="100">
        <v>4881.4785896247531</v>
      </c>
      <c r="M221" s="100">
        <v>0</v>
      </c>
      <c r="N221" s="100">
        <v>2793.4257423420177</v>
      </c>
      <c r="O221" s="100">
        <v>0</v>
      </c>
      <c r="P221" s="100">
        <v>11154.359572139521</v>
      </c>
      <c r="Q221" s="97" t="s">
        <v>737</v>
      </c>
    </row>
    <row r="222" spans="1:17">
      <c r="A222" s="98">
        <v>221</v>
      </c>
      <c r="B222" s="99" t="s">
        <v>785</v>
      </c>
      <c r="C222" s="99" t="s">
        <v>462</v>
      </c>
      <c r="D222" s="99" t="s">
        <v>463</v>
      </c>
      <c r="E222" s="99" t="s">
        <v>786</v>
      </c>
      <c r="F222" s="99" t="s">
        <v>118</v>
      </c>
      <c r="G222" s="99" t="s">
        <v>325</v>
      </c>
      <c r="H222" s="100">
        <v>0</v>
      </c>
      <c r="I222" s="100">
        <v>4309.6406763730793</v>
      </c>
      <c r="J222" s="100">
        <f t="shared" si="3"/>
        <v>4309.6406763730793</v>
      </c>
      <c r="K222" s="100">
        <v>0</v>
      </c>
      <c r="L222" s="100">
        <v>4228.9444610271612</v>
      </c>
      <c r="M222" s="100">
        <v>0</v>
      </c>
      <c r="N222" s="100">
        <v>2362.472411954795</v>
      </c>
      <c r="O222" s="100">
        <v>0</v>
      </c>
      <c r="P222" s="100">
        <v>8411.4704793314486</v>
      </c>
      <c r="Q222" s="97" t="s">
        <v>787</v>
      </c>
    </row>
    <row r="223" spans="1:17">
      <c r="A223" s="98">
        <v>222</v>
      </c>
      <c r="B223" s="99" t="s">
        <v>788</v>
      </c>
      <c r="C223" s="99" t="s">
        <v>558</v>
      </c>
      <c r="D223" s="99" t="s">
        <v>559</v>
      </c>
      <c r="E223" s="99" t="s">
        <v>789</v>
      </c>
      <c r="F223" s="99" t="s">
        <v>118</v>
      </c>
      <c r="G223" s="99" t="s">
        <v>325</v>
      </c>
      <c r="H223" s="100">
        <v>0</v>
      </c>
      <c r="I223" s="100">
        <v>4509.6070028865515</v>
      </c>
      <c r="J223" s="100">
        <f t="shared" si="3"/>
        <v>4509.6070028865515</v>
      </c>
      <c r="K223" s="100">
        <v>0</v>
      </c>
      <c r="L223" s="100">
        <v>3921.4634010442123</v>
      </c>
      <c r="M223" s="100">
        <v>0</v>
      </c>
      <c r="N223" s="100">
        <v>2493.2694776368917</v>
      </c>
      <c r="O223" s="100">
        <v>0</v>
      </c>
      <c r="P223" s="100">
        <v>8766.9014939616009</v>
      </c>
      <c r="Q223" s="97" t="s">
        <v>738</v>
      </c>
    </row>
    <row r="224" spans="1:17">
      <c r="A224" s="98">
        <v>223</v>
      </c>
      <c r="B224" s="99" t="s">
        <v>790</v>
      </c>
      <c r="C224" s="99" t="s">
        <v>462</v>
      </c>
      <c r="D224" s="99" t="s">
        <v>463</v>
      </c>
      <c r="E224" s="99" t="s">
        <v>791</v>
      </c>
      <c r="F224" s="99" t="s">
        <v>118</v>
      </c>
      <c r="G224" s="99" t="s">
        <v>325</v>
      </c>
      <c r="H224" s="100">
        <v>0</v>
      </c>
      <c r="I224" s="100">
        <v>4309.6406763730793</v>
      </c>
      <c r="J224" s="100">
        <f t="shared" si="3"/>
        <v>4309.6406763730793</v>
      </c>
      <c r="K224" s="100">
        <v>0</v>
      </c>
      <c r="L224" s="100">
        <v>4228.9444610271612</v>
      </c>
      <c r="M224" s="100">
        <v>0</v>
      </c>
      <c r="N224" s="100">
        <v>2362.472411954795</v>
      </c>
      <c r="O224" s="100">
        <v>0</v>
      </c>
      <c r="P224" s="100">
        <v>8411.4704793314486</v>
      </c>
      <c r="Q224" s="97" t="s">
        <v>787</v>
      </c>
    </row>
    <row r="225" spans="1:17">
      <c r="A225" s="98">
        <v>224</v>
      </c>
      <c r="B225" s="99" t="s">
        <v>792</v>
      </c>
      <c r="C225" s="99" t="s">
        <v>462</v>
      </c>
      <c r="D225" s="99" t="s">
        <v>463</v>
      </c>
      <c r="E225" s="99" t="s">
        <v>793</v>
      </c>
      <c r="F225" s="99" t="s">
        <v>118</v>
      </c>
      <c r="G225" s="99" t="s">
        <v>325</v>
      </c>
      <c r="H225" s="100">
        <v>0</v>
      </c>
      <c r="I225" s="100">
        <v>4188.2981101790647</v>
      </c>
      <c r="J225" s="100">
        <f t="shared" si="3"/>
        <v>4188.2981101790647</v>
      </c>
      <c r="K225" s="100">
        <v>0</v>
      </c>
      <c r="L225" s="100">
        <v>4107.6018948331466</v>
      </c>
      <c r="M225" s="100">
        <v>0</v>
      </c>
      <c r="N225" s="100">
        <v>2241.1298457607804</v>
      </c>
      <c r="O225" s="100">
        <v>0</v>
      </c>
      <c r="P225" s="100">
        <v>8174.6364854852945</v>
      </c>
      <c r="Q225" s="97" t="s">
        <v>737</v>
      </c>
    </row>
    <row r="226" spans="1:17">
      <c r="A226" s="98">
        <v>225</v>
      </c>
      <c r="B226" s="99" t="s">
        <v>794</v>
      </c>
      <c r="C226" s="99" t="s">
        <v>462</v>
      </c>
      <c r="D226" s="99" t="s">
        <v>463</v>
      </c>
      <c r="E226" s="99" t="s">
        <v>795</v>
      </c>
      <c r="F226" s="99" t="s">
        <v>118</v>
      </c>
      <c r="G226" s="99" t="s">
        <v>325</v>
      </c>
      <c r="H226" s="100">
        <v>0</v>
      </c>
      <c r="I226" s="100">
        <v>4309.6406763730793</v>
      </c>
      <c r="J226" s="100">
        <f t="shared" si="3"/>
        <v>4309.6406763730793</v>
      </c>
      <c r="K226" s="100">
        <v>0</v>
      </c>
      <c r="L226" s="100">
        <v>4228.9444610271612</v>
      </c>
      <c r="M226" s="100">
        <v>0</v>
      </c>
      <c r="N226" s="100">
        <v>2362.472411954795</v>
      </c>
      <c r="O226" s="100">
        <v>0</v>
      </c>
      <c r="P226" s="100">
        <v>8411.4704793314486</v>
      </c>
      <c r="Q226" s="97" t="s">
        <v>787</v>
      </c>
    </row>
    <row r="227" spans="1:17">
      <c r="A227" s="98">
        <v>226</v>
      </c>
      <c r="B227" s="99" t="s">
        <v>796</v>
      </c>
      <c r="C227" s="99" t="s">
        <v>462</v>
      </c>
      <c r="D227" s="99" t="s">
        <v>463</v>
      </c>
      <c r="E227" s="99" t="s">
        <v>797</v>
      </c>
      <c r="F227" s="99" t="s">
        <v>118</v>
      </c>
      <c r="G227" s="99" t="s">
        <v>325</v>
      </c>
      <c r="H227" s="100">
        <v>0</v>
      </c>
      <c r="I227" s="100">
        <v>4309.6406763730793</v>
      </c>
      <c r="J227" s="100">
        <f t="shared" si="3"/>
        <v>4309.6406763730793</v>
      </c>
      <c r="K227" s="100">
        <v>0</v>
      </c>
      <c r="L227" s="100">
        <v>4228.9444610271612</v>
      </c>
      <c r="M227" s="100">
        <v>0</v>
      </c>
      <c r="N227" s="100">
        <v>2362.472411954795</v>
      </c>
      <c r="O227" s="100">
        <v>0</v>
      </c>
      <c r="P227" s="100">
        <v>8411.4704793314486</v>
      </c>
      <c r="Q227" s="97" t="s">
        <v>787</v>
      </c>
    </row>
    <row r="228" spans="1:17">
      <c r="A228" s="98">
        <v>227</v>
      </c>
      <c r="B228" s="99" t="s">
        <v>798</v>
      </c>
      <c r="C228" s="99" t="s">
        <v>342</v>
      </c>
      <c r="D228" s="99" t="s">
        <v>343</v>
      </c>
      <c r="E228" s="99" t="s">
        <v>799</v>
      </c>
      <c r="F228" s="99" t="s">
        <v>118</v>
      </c>
      <c r="G228" s="99" t="s">
        <v>325</v>
      </c>
      <c r="H228" s="100">
        <v>0</v>
      </c>
      <c r="I228" s="100">
        <v>6051.0819178515412</v>
      </c>
      <c r="J228" s="100">
        <f t="shared" si="3"/>
        <v>6051.0819178515412</v>
      </c>
      <c r="K228" s="100">
        <v>0</v>
      </c>
      <c r="L228" s="100">
        <v>6120.4577349306628</v>
      </c>
      <c r="M228" s="100">
        <v>0</v>
      </c>
      <c r="N228" s="100">
        <v>3684.6515622279217</v>
      </c>
      <c r="O228" s="100">
        <v>0</v>
      </c>
      <c r="P228" s="100">
        <v>11843.722126991643</v>
      </c>
      <c r="Q228" s="97" t="s">
        <v>738</v>
      </c>
    </row>
    <row r="229" spans="1:17">
      <c r="A229" s="98">
        <v>228</v>
      </c>
      <c r="B229" s="99" t="s">
        <v>800</v>
      </c>
      <c r="C229" s="99" t="s">
        <v>558</v>
      </c>
      <c r="D229" s="99" t="s">
        <v>559</v>
      </c>
      <c r="E229" s="99" t="s">
        <v>801</v>
      </c>
      <c r="F229" s="99" t="s">
        <v>118</v>
      </c>
      <c r="G229" s="99" t="s">
        <v>325</v>
      </c>
      <c r="H229" s="100">
        <v>0</v>
      </c>
      <c r="I229" s="100">
        <v>4988.741901151926</v>
      </c>
      <c r="J229" s="100">
        <f t="shared" si="3"/>
        <v>4988.741901151926</v>
      </c>
      <c r="K229" s="100">
        <v>0</v>
      </c>
      <c r="L229" s="100">
        <v>4368.5882437180117</v>
      </c>
      <c r="M229" s="100">
        <v>0</v>
      </c>
      <c r="N229" s="100">
        <v>2864.5655502687691</v>
      </c>
      <c r="O229" s="100">
        <v>0</v>
      </c>
      <c r="P229" s="100">
        <v>9698.3636929344029</v>
      </c>
      <c r="Q229" s="97" t="s">
        <v>738</v>
      </c>
    </row>
    <row r="230" spans="1:17">
      <c r="A230" s="98">
        <v>229</v>
      </c>
      <c r="B230" s="99" t="s">
        <v>802</v>
      </c>
      <c r="C230" s="99" t="s">
        <v>462</v>
      </c>
      <c r="D230" s="99" t="s">
        <v>463</v>
      </c>
      <c r="E230" s="99" t="s">
        <v>803</v>
      </c>
      <c r="F230" s="99" t="s">
        <v>118</v>
      </c>
      <c r="G230" s="99" t="s">
        <v>325</v>
      </c>
      <c r="H230" s="100">
        <v>0</v>
      </c>
      <c r="I230" s="100">
        <v>4309.6406763730793</v>
      </c>
      <c r="J230" s="100">
        <f t="shared" si="3"/>
        <v>4309.6406763730793</v>
      </c>
      <c r="K230" s="100">
        <v>0</v>
      </c>
      <c r="L230" s="100">
        <v>4228.9444610271612</v>
      </c>
      <c r="M230" s="100">
        <v>0</v>
      </c>
      <c r="N230" s="100">
        <v>2362.472411954795</v>
      </c>
      <c r="O230" s="100">
        <v>0</v>
      </c>
      <c r="P230" s="100">
        <v>8411.4704793314486</v>
      </c>
      <c r="Q230" s="97" t="s">
        <v>787</v>
      </c>
    </row>
    <row r="231" spans="1:17">
      <c r="A231" s="98">
        <v>230</v>
      </c>
      <c r="B231" s="99" t="s">
        <v>804</v>
      </c>
      <c r="C231" s="99" t="s">
        <v>462</v>
      </c>
      <c r="D231" s="99" t="s">
        <v>463</v>
      </c>
      <c r="E231" s="99" t="s">
        <v>805</v>
      </c>
      <c r="F231" s="99" t="s">
        <v>118</v>
      </c>
      <c r="G231" s="99" t="s">
        <v>325</v>
      </c>
      <c r="H231" s="100">
        <v>0</v>
      </c>
      <c r="I231" s="100">
        <v>3805.821975522148</v>
      </c>
      <c r="J231" s="100">
        <f t="shared" si="3"/>
        <v>3805.821975522148</v>
      </c>
      <c r="K231" s="100">
        <v>0</v>
      </c>
      <c r="L231" s="100">
        <v>3746.6560680572725</v>
      </c>
      <c r="M231" s="100">
        <v>0</v>
      </c>
      <c r="N231" s="100">
        <v>2381.3655033104565</v>
      </c>
      <c r="O231" s="100">
        <v>0</v>
      </c>
      <c r="P231" s="100">
        <v>7428.1272153846176</v>
      </c>
      <c r="Q231" s="97" t="s">
        <v>738</v>
      </c>
    </row>
    <row r="232" spans="1:17">
      <c r="A232" s="98">
        <v>231</v>
      </c>
      <c r="B232" s="99" t="s">
        <v>806</v>
      </c>
      <c r="C232" s="99" t="s">
        <v>462</v>
      </c>
      <c r="D232" s="99" t="s">
        <v>463</v>
      </c>
      <c r="E232" s="99" t="s">
        <v>807</v>
      </c>
      <c r="F232" s="99" t="s">
        <v>118</v>
      </c>
      <c r="G232" s="99" t="s">
        <v>325</v>
      </c>
      <c r="H232" s="100">
        <v>0</v>
      </c>
      <c r="I232" s="100">
        <v>4309.6406763730793</v>
      </c>
      <c r="J232" s="100">
        <f t="shared" si="3"/>
        <v>4309.6406763730793</v>
      </c>
      <c r="K232" s="100">
        <v>0</v>
      </c>
      <c r="L232" s="100">
        <v>4228.9444610271612</v>
      </c>
      <c r="M232" s="100">
        <v>0</v>
      </c>
      <c r="N232" s="100">
        <v>2362.472411954795</v>
      </c>
      <c r="O232" s="100">
        <v>0</v>
      </c>
      <c r="P232" s="100">
        <v>8411.4704793314486</v>
      </c>
      <c r="Q232" s="97" t="s">
        <v>787</v>
      </c>
    </row>
    <row r="233" spans="1:17">
      <c r="A233" s="98">
        <v>232</v>
      </c>
      <c r="B233" s="99" t="s">
        <v>808</v>
      </c>
      <c r="C233" s="99" t="s">
        <v>462</v>
      </c>
      <c r="D233" s="99" t="s">
        <v>463</v>
      </c>
      <c r="E233" s="99" t="s">
        <v>809</v>
      </c>
      <c r="F233" s="99" t="s">
        <v>118</v>
      </c>
      <c r="G233" s="99" t="s">
        <v>325</v>
      </c>
      <c r="H233" s="100">
        <v>0</v>
      </c>
      <c r="I233" s="100">
        <v>4309.6406763730793</v>
      </c>
      <c r="J233" s="100">
        <f t="shared" si="3"/>
        <v>4309.6406763730793</v>
      </c>
      <c r="K233" s="100">
        <v>0</v>
      </c>
      <c r="L233" s="100">
        <v>4228.9444610271612</v>
      </c>
      <c r="M233" s="100">
        <v>0</v>
      </c>
      <c r="N233" s="100">
        <v>2362.472411954795</v>
      </c>
      <c r="O233" s="100">
        <v>0</v>
      </c>
      <c r="P233" s="100">
        <v>8411.4704793314486</v>
      </c>
      <c r="Q233" s="97" t="s">
        <v>787</v>
      </c>
    </row>
    <row r="234" spans="1:17">
      <c r="A234" s="98">
        <v>233</v>
      </c>
      <c r="B234" s="99" t="s">
        <v>810</v>
      </c>
      <c r="C234" s="99" t="s">
        <v>781</v>
      </c>
      <c r="D234" s="99" t="s">
        <v>417</v>
      </c>
      <c r="E234" s="99" t="s">
        <v>811</v>
      </c>
      <c r="F234" s="99" t="s">
        <v>117</v>
      </c>
      <c r="G234" s="99" t="s">
        <v>325</v>
      </c>
      <c r="H234" s="100">
        <v>0</v>
      </c>
      <c r="I234" s="100">
        <v>5206.0632353071323</v>
      </c>
      <c r="J234" s="100">
        <f t="shared" si="3"/>
        <v>5206.0632353071323</v>
      </c>
      <c r="K234" s="100">
        <v>0</v>
      </c>
      <c r="L234" s="100">
        <v>4537.6379063226186</v>
      </c>
      <c r="M234" s="100">
        <v>0</v>
      </c>
      <c r="N234" s="100">
        <v>2806.9857583703651</v>
      </c>
      <c r="O234" s="100">
        <v>0</v>
      </c>
      <c r="P234" s="100">
        <v>10079.094605451668</v>
      </c>
      <c r="Q234" s="97" t="s">
        <v>738</v>
      </c>
    </row>
    <row r="235" spans="1:17">
      <c r="A235" s="98">
        <v>234</v>
      </c>
      <c r="B235" s="99" t="s">
        <v>812</v>
      </c>
      <c r="C235" s="99" t="s">
        <v>462</v>
      </c>
      <c r="D235" s="99" t="s">
        <v>463</v>
      </c>
      <c r="E235" s="99" t="s">
        <v>813</v>
      </c>
      <c r="F235" s="99" t="s">
        <v>118</v>
      </c>
      <c r="G235" s="99" t="s">
        <v>325</v>
      </c>
      <c r="H235" s="100">
        <v>0</v>
      </c>
      <c r="I235" s="100">
        <v>4225.662906835686</v>
      </c>
      <c r="J235" s="100">
        <f t="shared" si="3"/>
        <v>4225.662906835686</v>
      </c>
      <c r="K235" s="100">
        <v>0</v>
      </c>
      <c r="L235" s="100">
        <v>4162.3624219102048</v>
      </c>
      <c r="M235" s="100">
        <v>0</v>
      </c>
      <c r="N235" s="100">
        <v>2703.6028045668254</v>
      </c>
      <c r="O235" s="100">
        <v>0</v>
      </c>
      <c r="P235" s="100">
        <v>8247.5643483037566</v>
      </c>
      <c r="Q235" s="97" t="s">
        <v>738</v>
      </c>
    </row>
    <row r="236" spans="1:17">
      <c r="A236" s="98">
        <v>235</v>
      </c>
      <c r="B236" s="99" t="s">
        <v>814</v>
      </c>
      <c r="C236" s="99" t="s">
        <v>650</v>
      </c>
      <c r="D236" s="99" t="s">
        <v>651</v>
      </c>
      <c r="E236" s="99" t="s">
        <v>815</v>
      </c>
      <c r="F236" s="99" t="s">
        <v>117</v>
      </c>
      <c r="G236" s="99" t="s">
        <v>325</v>
      </c>
      <c r="H236" s="100">
        <v>0</v>
      </c>
      <c r="I236" s="100">
        <v>6209.2190524125053</v>
      </c>
      <c r="J236" s="100">
        <f t="shared" si="3"/>
        <v>6209.2190524125053</v>
      </c>
      <c r="K236" s="100">
        <v>0</v>
      </c>
      <c r="L236" s="100">
        <v>6141.2765852492794</v>
      </c>
      <c r="M236" s="100">
        <v>0</v>
      </c>
      <c r="N236" s="100">
        <v>3913.6169413029997</v>
      </c>
      <c r="O236" s="100">
        <v>0</v>
      </c>
      <c r="P236" s="100">
        <v>11315.742893307075</v>
      </c>
      <c r="Q236" s="97" t="s">
        <v>737</v>
      </c>
    </row>
    <row r="237" spans="1:17">
      <c r="A237" s="98">
        <v>236</v>
      </c>
      <c r="B237" s="99" t="s">
        <v>816</v>
      </c>
      <c r="C237" s="99" t="s">
        <v>544</v>
      </c>
      <c r="D237" s="99" t="s">
        <v>545</v>
      </c>
      <c r="E237" s="99" t="s">
        <v>817</v>
      </c>
      <c r="F237" s="99" t="s">
        <v>118</v>
      </c>
      <c r="G237" s="99" t="s">
        <v>325</v>
      </c>
      <c r="H237" s="100">
        <v>0</v>
      </c>
      <c r="I237" s="100">
        <v>4906.6943563214172</v>
      </c>
      <c r="J237" s="100">
        <f t="shared" si="3"/>
        <v>4906.6943563214172</v>
      </c>
      <c r="K237" s="100">
        <v>0</v>
      </c>
      <c r="L237" s="100">
        <v>5050.3633232551347</v>
      </c>
      <c r="M237" s="100">
        <v>0</v>
      </c>
      <c r="N237" s="100">
        <v>3136.675258022452</v>
      </c>
      <c r="O237" s="100">
        <v>0</v>
      </c>
      <c r="P237" s="100">
        <v>9277.4304881018452</v>
      </c>
      <c r="Q237" s="97" t="s">
        <v>738</v>
      </c>
    </row>
    <row r="238" spans="1:17">
      <c r="A238" s="98">
        <v>237</v>
      </c>
      <c r="B238" s="99" t="s">
        <v>818</v>
      </c>
      <c r="C238" s="99" t="s">
        <v>536</v>
      </c>
      <c r="D238" s="99" t="s">
        <v>537</v>
      </c>
      <c r="E238" s="99" t="s">
        <v>819</v>
      </c>
      <c r="F238" s="99" t="s">
        <v>117</v>
      </c>
      <c r="G238" s="99" t="s">
        <v>325</v>
      </c>
      <c r="H238" s="100">
        <v>0</v>
      </c>
      <c r="I238" s="100">
        <v>5847.690916177713</v>
      </c>
      <c r="J238" s="100">
        <f t="shared" si="3"/>
        <v>5847.690916177713</v>
      </c>
      <c r="K238" s="100">
        <v>0</v>
      </c>
      <c r="L238" s="100">
        <v>5639.8212843669762</v>
      </c>
      <c r="M238" s="100">
        <v>0</v>
      </c>
      <c r="N238" s="100">
        <v>3498.9439872614785</v>
      </c>
      <c r="O238" s="100">
        <v>0</v>
      </c>
      <c r="P238" s="100">
        <v>11111.080556010949</v>
      </c>
      <c r="Q238" s="97" t="s">
        <v>787</v>
      </c>
    </row>
    <row r="239" spans="1:17">
      <c r="A239" s="98">
        <v>238</v>
      </c>
      <c r="B239" s="99" t="s">
        <v>820</v>
      </c>
      <c r="C239" s="99" t="s">
        <v>323</v>
      </c>
      <c r="D239" s="99" t="s">
        <v>324</v>
      </c>
      <c r="E239" s="99" t="s">
        <v>821</v>
      </c>
      <c r="F239" s="99" t="s">
        <v>117</v>
      </c>
      <c r="G239" s="99" t="s">
        <v>325</v>
      </c>
      <c r="H239" s="100">
        <v>0</v>
      </c>
      <c r="I239" s="100">
        <v>6699.4140187391167</v>
      </c>
      <c r="J239" s="100">
        <f t="shared" si="3"/>
        <v>6699.4140187391167</v>
      </c>
      <c r="K239" s="100">
        <v>0</v>
      </c>
      <c r="L239" s="100">
        <v>6045.8190729041098</v>
      </c>
      <c r="M239" s="100">
        <v>0</v>
      </c>
      <c r="N239" s="100">
        <v>3614.4553097529752</v>
      </c>
      <c r="O239" s="100">
        <v>0</v>
      </c>
      <c r="P239" s="100">
        <v>12562.004232397532</v>
      </c>
      <c r="Q239" s="97" t="s">
        <v>738</v>
      </c>
    </row>
    <row r="240" spans="1:17">
      <c r="A240" s="98">
        <v>239</v>
      </c>
      <c r="B240" s="99" t="s">
        <v>822</v>
      </c>
      <c r="C240" s="99" t="s">
        <v>462</v>
      </c>
      <c r="D240" s="99" t="s">
        <v>463</v>
      </c>
      <c r="E240" s="99" t="s">
        <v>823</v>
      </c>
      <c r="F240" s="99" t="s">
        <v>118</v>
      </c>
      <c r="G240" s="99" t="s">
        <v>325</v>
      </c>
      <c r="H240" s="100">
        <v>0</v>
      </c>
      <c r="I240" s="100">
        <v>5213.4579445551017</v>
      </c>
      <c r="J240" s="100">
        <f t="shared" si="3"/>
        <v>5213.4579445551017</v>
      </c>
      <c r="K240" s="100">
        <v>0</v>
      </c>
      <c r="L240" s="100">
        <v>5132.7617292091827</v>
      </c>
      <c r="M240" s="100">
        <v>0</v>
      </c>
      <c r="N240" s="100">
        <v>3266.289680136817</v>
      </c>
      <c r="O240" s="100">
        <v>0</v>
      </c>
      <c r="P240" s="100">
        <v>10175.522947023755</v>
      </c>
      <c r="Q240" s="97" t="s">
        <v>737</v>
      </c>
    </row>
    <row r="241" spans="1:17">
      <c r="A241" s="98">
        <v>240</v>
      </c>
      <c r="B241" s="99" t="s">
        <v>824</v>
      </c>
      <c r="C241" s="99" t="s">
        <v>558</v>
      </c>
      <c r="D241" s="99" t="s">
        <v>559</v>
      </c>
      <c r="E241" s="99" t="s">
        <v>825</v>
      </c>
      <c r="F241" s="99" t="s">
        <v>118</v>
      </c>
      <c r="G241" s="99" t="s">
        <v>325</v>
      </c>
      <c r="H241" s="100">
        <v>0</v>
      </c>
      <c r="I241" s="100">
        <v>5833.2964821972273</v>
      </c>
      <c r="J241" s="100">
        <f t="shared" si="3"/>
        <v>5833.2964821972273</v>
      </c>
      <c r="K241" s="100">
        <v>0</v>
      </c>
      <c r="L241" s="100">
        <v>5209.6163103623867</v>
      </c>
      <c r="M241" s="100">
        <v>0</v>
      </c>
      <c r="N241" s="100">
        <v>3696.1918409505925</v>
      </c>
      <c r="O241" s="100">
        <v>0</v>
      </c>
      <c r="P241" s="100">
        <v>11340.22002621552</v>
      </c>
      <c r="Q241" s="97" t="s">
        <v>738</v>
      </c>
    </row>
    <row r="242" spans="1:17">
      <c r="A242" s="98">
        <v>241</v>
      </c>
      <c r="B242" s="99" t="s">
        <v>826</v>
      </c>
      <c r="C242" s="99" t="s">
        <v>462</v>
      </c>
      <c r="D242" s="99" t="s">
        <v>463</v>
      </c>
      <c r="E242" s="99" t="s">
        <v>827</v>
      </c>
      <c r="F242" s="99" t="s">
        <v>118</v>
      </c>
      <c r="G242" s="99" t="s">
        <v>325</v>
      </c>
      <c r="H242" s="100">
        <v>0</v>
      </c>
      <c r="I242" s="100">
        <v>4788.2017317437267</v>
      </c>
      <c r="J242" s="100">
        <f t="shared" si="3"/>
        <v>4788.2017317437267</v>
      </c>
      <c r="K242" s="100">
        <v>0</v>
      </c>
      <c r="L242" s="100">
        <v>4713.5985993061968</v>
      </c>
      <c r="M242" s="100">
        <v>0</v>
      </c>
      <c r="N242" s="100">
        <v>3026.5702821960558</v>
      </c>
      <c r="O242" s="100">
        <v>0</v>
      </c>
      <c r="P242" s="100">
        <v>9345.5163759827701</v>
      </c>
      <c r="Q242" s="97" t="s">
        <v>738</v>
      </c>
    </row>
    <row r="243" spans="1:17">
      <c r="A243" s="98">
        <v>242</v>
      </c>
      <c r="B243" s="99" t="s">
        <v>828</v>
      </c>
      <c r="C243" s="99" t="s">
        <v>462</v>
      </c>
      <c r="D243" s="99" t="s">
        <v>463</v>
      </c>
      <c r="E243" s="99" t="s">
        <v>829</v>
      </c>
      <c r="F243" s="99" t="s">
        <v>118</v>
      </c>
      <c r="G243" s="99" t="s">
        <v>325</v>
      </c>
      <c r="H243" s="100">
        <v>0</v>
      </c>
      <c r="I243" s="100">
        <v>5110.8385797138235</v>
      </c>
      <c r="J243" s="100">
        <f t="shared" si="3"/>
        <v>5110.8385797138235</v>
      </c>
      <c r="K243" s="100">
        <v>0</v>
      </c>
      <c r="L243" s="100">
        <v>5039.4906385256236</v>
      </c>
      <c r="M243" s="100">
        <v>0</v>
      </c>
      <c r="N243" s="100">
        <v>3402.6379308985806</v>
      </c>
      <c r="O243" s="100">
        <v>0</v>
      </c>
      <c r="P243" s="100">
        <v>9975.2325231138475</v>
      </c>
      <c r="Q243" s="97" t="s">
        <v>738</v>
      </c>
    </row>
    <row r="244" spans="1:17">
      <c r="A244" s="98">
        <v>243</v>
      </c>
      <c r="B244" s="99" t="s">
        <v>830</v>
      </c>
      <c r="C244" s="99" t="s">
        <v>831</v>
      </c>
      <c r="D244" s="99" t="s">
        <v>583</v>
      </c>
      <c r="E244" s="99" t="s">
        <v>832</v>
      </c>
      <c r="F244" s="99" t="s">
        <v>115</v>
      </c>
      <c r="G244" s="99" t="s">
        <v>322</v>
      </c>
      <c r="H244" s="100">
        <v>0</v>
      </c>
      <c r="I244" s="100">
        <v>6997.8509896557098</v>
      </c>
      <c r="J244" s="100">
        <f t="shared" si="3"/>
        <v>6997.8509896557098</v>
      </c>
      <c r="K244" s="100">
        <v>0</v>
      </c>
      <c r="L244" s="100">
        <v>7172.8903591610451</v>
      </c>
      <c r="M244" s="100">
        <v>0</v>
      </c>
      <c r="N244" s="100">
        <v>4256.9208907844286</v>
      </c>
      <c r="O244" s="100">
        <v>0</v>
      </c>
      <c r="P244" s="100">
        <v>13725.095081541433</v>
      </c>
      <c r="Q244" s="97" t="s">
        <v>737</v>
      </c>
    </row>
    <row r="245" spans="1:17">
      <c r="A245" s="98">
        <v>244</v>
      </c>
      <c r="B245" s="99" t="s">
        <v>833</v>
      </c>
      <c r="C245" s="99" t="s">
        <v>650</v>
      </c>
      <c r="D245" s="99" t="s">
        <v>651</v>
      </c>
      <c r="E245" s="99" t="s">
        <v>834</v>
      </c>
      <c r="F245" s="99" t="s">
        <v>117</v>
      </c>
      <c r="G245" s="99" t="s">
        <v>325</v>
      </c>
      <c r="H245" s="100">
        <v>0</v>
      </c>
      <c r="I245" s="100">
        <v>6207.9731508718369</v>
      </c>
      <c r="J245" s="100">
        <f t="shared" si="3"/>
        <v>6207.9731508718369</v>
      </c>
      <c r="K245" s="100">
        <v>0</v>
      </c>
      <c r="L245" s="100">
        <v>6140.6321594362189</v>
      </c>
      <c r="M245" s="100">
        <v>0</v>
      </c>
      <c r="N245" s="100">
        <v>3933.2469782182461</v>
      </c>
      <c r="O245" s="100">
        <v>0</v>
      </c>
      <c r="P245" s="100">
        <v>11313.472349880345</v>
      </c>
      <c r="Q245" s="97" t="s">
        <v>738</v>
      </c>
    </row>
    <row r="246" spans="1:17">
      <c r="A246" s="98">
        <v>245</v>
      </c>
      <c r="B246" s="99" t="s">
        <v>835</v>
      </c>
      <c r="C246" s="99" t="s">
        <v>462</v>
      </c>
      <c r="D246" s="99" t="s">
        <v>463</v>
      </c>
      <c r="E246" s="99" t="s">
        <v>836</v>
      </c>
      <c r="F246" s="99" t="s">
        <v>118</v>
      </c>
      <c r="G246" s="99" t="s">
        <v>325</v>
      </c>
      <c r="H246" s="100">
        <v>0</v>
      </c>
      <c r="I246" s="100">
        <v>4309.6406763730793</v>
      </c>
      <c r="J246" s="100">
        <f t="shared" si="3"/>
        <v>4309.6406763730793</v>
      </c>
      <c r="K246" s="100">
        <v>0</v>
      </c>
      <c r="L246" s="100">
        <v>4228.9444610271612</v>
      </c>
      <c r="M246" s="100">
        <v>0</v>
      </c>
      <c r="N246" s="100">
        <v>2362.472411954795</v>
      </c>
      <c r="O246" s="100">
        <v>0</v>
      </c>
      <c r="P246" s="100">
        <v>8411.4704793314486</v>
      </c>
      <c r="Q246" s="97" t="s">
        <v>787</v>
      </c>
    </row>
    <row r="247" spans="1:17">
      <c r="A247" s="98">
        <v>246</v>
      </c>
      <c r="B247" s="99" t="s">
        <v>837</v>
      </c>
      <c r="C247" s="99" t="s">
        <v>652</v>
      </c>
      <c r="D247" s="99" t="s">
        <v>653</v>
      </c>
      <c r="E247" s="99" t="s">
        <v>838</v>
      </c>
      <c r="F247" s="99" t="s">
        <v>115</v>
      </c>
      <c r="G247" s="99" t="s">
        <v>322</v>
      </c>
      <c r="H247" s="100">
        <v>0</v>
      </c>
      <c r="I247" s="100">
        <v>7900.1944539187825</v>
      </c>
      <c r="J247" s="100">
        <f t="shared" si="3"/>
        <v>7900.1944539187825</v>
      </c>
      <c r="K247" s="100">
        <v>0</v>
      </c>
      <c r="L247" s="100">
        <v>7914.8776980496777</v>
      </c>
      <c r="M247" s="100">
        <v>0</v>
      </c>
      <c r="N247" s="100">
        <v>4417.8417627782865</v>
      </c>
      <c r="O247" s="100">
        <v>0</v>
      </c>
      <c r="P247" s="100">
        <v>14976.398626293836</v>
      </c>
      <c r="Q247" s="97" t="s">
        <v>738</v>
      </c>
    </row>
    <row r="248" spans="1:17">
      <c r="A248" s="98">
        <v>247</v>
      </c>
      <c r="B248" s="99" t="s">
        <v>839</v>
      </c>
      <c r="C248" s="99" t="s">
        <v>658</v>
      </c>
      <c r="D248" s="99" t="s">
        <v>659</v>
      </c>
      <c r="E248" s="99" t="s">
        <v>840</v>
      </c>
      <c r="F248" s="99" t="s">
        <v>115</v>
      </c>
      <c r="G248" s="99" t="s">
        <v>325</v>
      </c>
      <c r="H248" s="100">
        <v>0</v>
      </c>
      <c r="I248" s="100">
        <v>6818.762158250569</v>
      </c>
      <c r="J248" s="100">
        <f t="shared" si="3"/>
        <v>6818.762158250569</v>
      </c>
      <c r="K248" s="100">
        <v>0</v>
      </c>
      <c r="L248" s="100">
        <v>7400.1597526016258</v>
      </c>
      <c r="M248" s="100">
        <v>0</v>
      </c>
      <c r="N248" s="100">
        <v>4522.2743388211384</v>
      </c>
      <c r="O248" s="100">
        <v>0</v>
      </c>
      <c r="P248" s="100">
        <v>13637.524316501138</v>
      </c>
      <c r="Q248" s="97" t="s">
        <v>787</v>
      </c>
    </row>
    <row r="249" spans="1:17">
      <c r="A249" s="98">
        <v>248</v>
      </c>
      <c r="B249" s="99" t="s">
        <v>841</v>
      </c>
      <c r="C249" s="99" t="s">
        <v>831</v>
      </c>
      <c r="D249" s="99" t="s">
        <v>583</v>
      </c>
      <c r="E249" s="99" t="s">
        <v>842</v>
      </c>
      <c r="F249" s="99" t="s">
        <v>115</v>
      </c>
      <c r="G249" s="99" t="s">
        <v>322</v>
      </c>
      <c r="H249" s="100">
        <v>0</v>
      </c>
      <c r="I249" s="100">
        <v>6912.6980577166687</v>
      </c>
      <c r="J249" s="100">
        <f t="shared" si="3"/>
        <v>6912.6980577166687</v>
      </c>
      <c r="K249" s="100">
        <v>0</v>
      </c>
      <c r="L249" s="100">
        <v>7087.737427222004</v>
      </c>
      <c r="M249" s="100">
        <v>0</v>
      </c>
      <c r="N249" s="100">
        <v>4171.7679588453866</v>
      </c>
      <c r="O249" s="100">
        <v>0</v>
      </c>
      <c r="P249" s="100">
        <v>13558.082081541434</v>
      </c>
      <c r="Q249" s="97" t="s">
        <v>737</v>
      </c>
    </row>
    <row r="250" spans="1:17">
      <c r="A250" s="98">
        <v>249</v>
      </c>
      <c r="B250" s="99" t="s">
        <v>843</v>
      </c>
      <c r="C250" s="99" t="s">
        <v>462</v>
      </c>
      <c r="D250" s="99" t="s">
        <v>463</v>
      </c>
      <c r="E250" s="99" t="s">
        <v>844</v>
      </c>
      <c r="F250" s="99" t="s">
        <v>118</v>
      </c>
      <c r="G250" s="99" t="s">
        <v>325</v>
      </c>
      <c r="H250" s="100">
        <v>0</v>
      </c>
      <c r="I250" s="100">
        <v>5200.4390592299123</v>
      </c>
      <c r="J250" s="100">
        <f t="shared" si="3"/>
        <v>5200.4390592299123</v>
      </c>
      <c r="K250" s="100">
        <v>0</v>
      </c>
      <c r="L250" s="100">
        <v>5119.7428438839934</v>
      </c>
      <c r="M250" s="100">
        <v>0</v>
      </c>
      <c r="N250" s="100">
        <v>3253.2707948116272</v>
      </c>
      <c r="O250" s="100">
        <v>0</v>
      </c>
      <c r="P250" s="100">
        <v>10150.112947023757</v>
      </c>
      <c r="Q250" s="97" t="s">
        <v>737</v>
      </c>
    </row>
    <row r="251" spans="1:17">
      <c r="A251" s="98">
        <v>250</v>
      </c>
      <c r="B251" s="99" t="s">
        <v>845</v>
      </c>
      <c r="C251" s="99" t="s">
        <v>462</v>
      </c>
      <c r="D251" s="99" t="s">
        <v>463</v>
      </c>
      <c r="E251" s="99" t="s">
        <v>846</v>
      </c>
      <c r="F251" s="99" t="s">
        <v>118</v>
      </c>
      <c r="G251" s="99" t="s">
        <v>325</v>
      </c>
      <c r="H251" s="100">
        <v>0</v>
      </c>
      <c r="I251" s="100">
        <v>5187.915623449996</v>
      </c>
      <c r="J251" s="100">
        <f t="shared" si="3"/>
        <v>5187.915623449996</v>
      </c>
      <c r="K251" s="100">
        <v>0</v>
      </c>
      <c r="L251" s="100">
        <v>5117.2111625128</v>
      </c>
      <c r="M251" s="100">
        <v>0</v>
      </c>
      <c r="N251" s="100">
        <v>3526.4231009642485</v>
      </c>
      <c r="O251" s="100">
        <v>0</v>
      </c>
      <c r="P251" s="100">
        <v>10125.669955537232</v>
      </c>
      <c r="Q251" s="97" t="s">
        <v>738</v>
      </c>
    </row>
    <row r="252" spans="1:17">
      <c r="A252" s="98">
        <v>251</v>
      </c>
      <c r="B252" s="99" t="s">
        <v>847</v>
      </c>
      <c r="C252" s="99" t="s">
        <v>831</v>
      </c>
      <c r="D252" s="99" t="s">
        <v>583</v>
      </c>
      <c r="E252" s="99" t="s">
        <v>848</v>
      </c>
      <c r="F252" s="99" t="s">
        <v>115</v>
      </c>
      <c r="G252" s="99" t="s">
        <v>322</v>
      </c>
      <c r="H252" s="100">
        <v>0</v>
      </c>
      <c r="I252" s="100">
        <v>6686.4676426411843</v>
      </c>
      <c r="J252" s="100">
        <f t="shared" si="3"/>
        <v>6686.4676426411843</v>
      </c>
      <c r="K252" s="100">
        <v>0</v>
      </c>
      <c r="L252" s="100">
        <v>6861.5070121465205</v>
      </c>
      <c r="M252" s="100">
        <v>0</v>
      </c>
      <c r="N252" s="100">
        <v>3945.5375437699022</v>
      </c>
      <c r="O252" s="100">
        <v>0</v>
      </c>
      <c r="P252" s="100">
        <v>13114.369581541434</v>
      </c>
      <c r="Q252" s="97" t="s">
        <v>737</v>
      </c>
    </row>
    <row r="253" spans="1:17">
      <c r="A253" s="98">
        <v>252</v>
      </c>
      <c r="B253" s="99" t="s">
        <v>849</v>
      </c>
      <c r="C253" s="99" t="s">
        <v>658</v>
      </c>
      <c r="D253" s="99" t="s">
        <v>659</v>
      </c>
      <c r="E253" s="99" t="s">
        <v>850</v>
      </c>
      <c r="F253" s="99" t="s">
        <v>115</v>
      </c>
      <c r="G253" s="99" t="s">
        <v>325</v>
      </c>
      <c r="H253" s="100">
        <v>0</v>
      </c>
      <c r="I253" s="100">
        <v>7038.3172838895425</v>
      </c>
      <c r="J253" s="100">
        <f t="shared" si="3"/>
        <v>7038.3172838895425</v>
      </c>
      <c r="K253" s="100">
        <v>0</v>
      </c>
      <c r="L253" s="100">
        <v>7636.5952796341471</v>
      </c>
      <c r="M253" s="100">
        <v>0</v>
      </c>
      <c r="N253" s="100">
        <v>4636.5614440548779</v>
      </c>
      <c r="O253" s="100">
        <v>0</v>
      </c>
      <c r="P253" s="100">
        <v>14076.634567779085</v>
      </c>
      <c r="Q253" s="97" t="s">
        <v>738</v>
      </c>
    </row>
    <row r="254" spans="1:17">
      <c r="A254" s="98">
        <v>253</v>
      </c>
      <c r="B254" s="99" t="s">
        <v>851</v>
      </c>
      <c r="C254" s="99" t="s">
        <v>386</v>
      </c>
      <c r="D254" s="99" t="s">
        <v>387</v>
      </c>
      <c r="E254" s="99" t="s">
        <v>852</v>
      </c>
      <c r="F254" s="99" t="s">
        <v>114</v>
      </c>
      <c r="G254" s="99" t="s">
        <v>322</v>
      </c>
      <c r="H254" s="100">
        <v>0</v>
      </c>
      <c r="I254" s="100">
        <v>8877.1624888750375</v>
      </c>
      <c r="J254" s="100">
        <f t="shared" si="3"/>
        <v>8877.1624888750375</v>
      </c>
      <c r="K254" s="100">
        <v>0</v>
      </c>
      <c r="L254" s="100">
        <v>9377.6682359365223</v>
      </c>
      <c r="M254" s="100">
        <v>0</v>
      </c>
      <c r="N254" s="100">
        <v>4882.1235642498223</v>
      </c>
      <c r="O254" s="100">
        <v>0</v>
      </c>
      <c r="P254" s="100">
        <v>17312.242285804099</v>
      </c>
      <c r="Q254" s="97" t="s">
        <v>737</v>
      </c>
    </row>
    <row r="255" spans="1:17">
      <c r="A255" s="98">
        <v>254</v>
      </c>
      <c r="B255" s="99" t="s">
        <v>853</v>
      </c>
      <c r="C255" s="99" t="s">
        <v>831</v>
      </c>
      <c r="D255" s="99" t="s">
        <v>583</v>
      </c>
      <c r="E255" s="99" t="s">
        <v>854</v>
      </c>
      <c r="F255" s="99" t="s">
        <v>115</v>
      </c>
      <c r="G255" s="99" t="s">
        <v>322</v>
      </c>
      <c r="H255" s="100">
        <v>0</v>
      </c>
      <c r="I255" s="100">
        <v>8069.3881608609627</v>
      </c>
      <c r="J255" s="100">
        <f t="shared" si="3"/>
        <v>8069.3881608609627</v>
      </c>
      <c r="K255" s="100">
        <v>0</v>
      </c>
      <c r="L255" s="100">
        <v>8244.427530366298</v>
      </c>
      <c r="M255" s="100">
        <v>0</v>
      </c>
      <c r="N255" s="100">
        <v>5328.4580619896815</v>
      </c>
      <c r="O255" s="100">
        <v>0</v>
      </c>
      <c r="P255" s="100">
        <v>15826.733081541432</v>
      </c>
      <c r="Q255" s="97" t="s">
        <v>737</v>
      </c>
    </row>
    <row r="256" spans="1:17">
      <c r="A256" s="98">
        <v>255</v>
      </c>
      <c r="B256" s="99" t="s">
        <v>855</v>
      </c>
      <c r="C256" s="99" t="s">
        <v>652</v>
      </c>
      <c r="D256" s="99" t="s">
        <v>653</v>
      </c>
      <c r="E256" s="99" t="s">
        <v>856</v>
      </c>
      <c r="F256" s="99" t="s">
        <v>115</v>
      </c>
      <c r="G256" s="99" t="s">
        <v>322</v>
      </c>
      <c r="H256" s="100">
        <v>0</v>
      </c>
      <c r="I256" s="100">
        <v>8221.1460316015673</v>
      </c>
      <c r="J256" s="100">
        <f t="shared" si="3"/>
        <v>8221.1460316015673</v>
      </c>
      <c r="K256" s="100">
        <v>0</v>
      </c>
      <c r="L256" s="100">
        <v>8235.4351454369498</v>
      </c>
      <c r="M256" s="100">
        <v>0</v>
      </c>
      <c r="N256" s="100">
        <v>4836.9317840439153</v>
      </c>
      <c r="O256" s="100">
        <v>0</v>
      </c>
      <c r="P256" s="100">
        <v>15584.826532107088</v>
      </c>
      <c r="Q256" s="97" t="s">
        <v>738</v>
      </c>
    </row>
    <row r="257" spans="1:17">
      <c r="A257" s="98">
        <v>256</v>
      </c>
      <c r="B257" s="99" t="s">
        <v>857</v>
      </c>
      <c r="C257" s="99" t="s">
        <v>462</v>
      </c>
      <c r="D257" s="99" t="s">
        <v>463</v>
      </c>
      <c r="E257" s="99" t="s">
        <v>858</v>
      </c>
      <c r="F257" s="99" t="s">
        <v>118</v>
      </c>
      <c r="G257" s="99" t="s">
        <v>325</v>
      </c>
      <c r="H257" s="100">
        <v>0</v>
      </c>
      <c r="I257" s="100">
        <v>5805.8154704901344</v>
      </c>
      <c r="J257" s="100">
        <f t="shared" si="3"/>
        <v>5805.8154704901344</v>
      </c>
      <c r="K257" s="100">
        <v>0</v>
      </c>
      <c r="L257" s="100">
        <v>5741.0018253423386</v>
      </c>
      <c r="M257" s="100">
        <v>0</v>
      </c>
      <c r="N257" s="100">
        <v>4279.8778376135833</v>
      </c>
      <c r="O257" s="100">
        <v>0</v>
      </c>
      <c r="P257" s="100">
        <v>11331.674518993234</v>
      </c>
      <c r="Q257" s="97" t="s">
        <v>738</v>
      </c>
    </row>
    <row r="258" spans="1:17">
      <c r="A258" s="98">
        <v>257</v>
      </c>
      <c r="B258" s="99" t="s">
        <v>859</v>
      </c>
      <c r="C258" s="99" t="s">
        <v>741</v>
      </c>
      <c r="D258" s="99" t="s">
        <v>359</v>
      </c>
      <c r="E258" s="99" t="s">
        <v>860</v>
      </c>
      <c r="F258" s="99" t="s">
        <v>115</v>
      </c>
      <c r="G258" s="99" t="s">
        <v>322</v>
      </c>
      <c r="H258" s="100">
        <v>0</v>
      </c>
      <c r="I258" s="100">
        <v>7227.8507818056241</v>
      </c>
      <c r="J258" s="100">
        <f t="shared" si="3"/>
        <v>7227.8507818056241</v>
      </c>
      <c r="K258" s="100">
        <v>0</v>
      </c>
      <c r="L258" s="100">
        <v>8064.8225693747554</v>
      </c>
      <c r="M258" s="100">
        <v>0</v>
      </c>
      <c r="N258" s="100">
        <v>5011.9890061148481</v>
      </c>
      <c r="O258" s="100">
        <v>0</v>
      </c>
      <c r="P258" s="100">
        <v>13540.655654634656</v>
      </c>
      <c r="Q258" s="97" t="s">
        <v>787</v>
      </c>
    </row>
    <row r="259" spans="1:17">
      <c r="A259" s="98">
        <v>258</v>
      </c>
      <c r="B259" s="99" t="s">
        <v>861</v>
      </c>
      <c r="C259" s="99" t="s">
        <v>831</v>
      </c>
      <c r="D259" s="99" t="s">
        <v>583</v>
      </c>
      <c r="E259" s="99" t="s">
        <v>862</v>
      </c>
      <c r="F259" s="99" t="s">
        <v>115</v>
      </c>
      <c r="G259" s="99" t="s">
        <v>322</v>
      </c>
      <c r="H259" s="100">
        <v>0</v>
      </c>
      <c r="I259" s="100">
        <v>10509.914259450532</v>
      </c>
      <c r="J259" s="100">
        <f t="shared" ref="J259:J322" si="4">IF(H259=0,I259,AVERAGE(H259:I259))</f>
        <v>10509.914259450532</v>
      </c>
      <c r="K259" s="100">
        <v>0</v>
      </c>
      <c r="L259" s="100">
        <v>10695.500740370622</v>
      </c>
      <c r="M259" s="100">
        <v>0</v>
      </c>
      <c r="N259" s="100">
        <v>7719.3776465176416</v>
      </c>
      <c r="O259" s="100">
        <v>0</v>
      </c>
      <c r="P259" s="100">
        <v>20613.410134488113</v>
      </c>
      <c r="Q259" s="97" t="s">
        <v>738</v>
      </c>
    </row>
    <row r="260" spans="1:17">
      <c r="A260" s="98">
        <v>259</v>
      </c>
      <c r="B260" s="99" t="s">
        <v>863</v>
      </c>
      <c r="C260" s="99" t="s">
        <v>462</v>
      </c>
      <c r="D260" s="99" t="s">
        <v>463</v>
      </c>
      <c r="E260" s="99" t="s">
        <v>864</v>
      </c>
      <c r="F260" s="99" t="s">
        <v>118</v>
      </c>
      <c r="G260" s="99" t="s">
        <v>325</v>
      </c>
      <c r="H260" s="100">
        <v>0</v>
      </c>
      <c r="I260" s="100">
        <v>5281.4047401092666</v>
      </c>
      <c r="J260" s="100">
        <f t="shared" si="4"/>
        <v>5281.4047401092666</v>
      </c>
      <c r="K260" s="100">
        <v>0</v>
      </c>
      <c r="L260" s="100">
        <v>5213.5425907344024</v>
      </c>
      <c r="M260" s="100">
        <v>0</v>
      </c>
      <c r="N260" s="100">
        <v>3666.7595026341505</v>
      </c>
      <c r="O260" s="100">
        <v>0</v>
      </c>
      <c r="P260" s="100">
        <v>10308.140143650462</v>
      </c>
      <c r="Q260" s="97" t="s">
        <v>738</v>
      </c>
    </row>
    <row r="261" spans="1:17">
      <c r="A261" s="98">
        <v>260</v>
      </c>
      <c r="B261" s="99" t="s">
        <v>865</v>
      </c>
      <c r="C261" s="99" t="s">
        <v>741</v>
      </c>
      <c r="D261" s="99" t="s">
        <v>359</v>
      </c>
      <c r="E261" s="99" t="s">
        <v>866</v>
      </c>
      <c r="F261" s="99" t="s">
        <v>115</v>
      </c>
      <c r="G261" s="99" t="s">
        <v>322</v>
      </c>
      <c r="H261" s="100">
        <v>0</v>
      </c>
      <c r="I261" s="100">
        <v>7718.1410411746574</v>
      </c>
      <c r="J261" s="100">
        <f t="shared" si="4"/>
        <v>7718.1410411746574</v>
      </c>
      <c r="K261" s="100">
        <v>0</v>
      </c>
      <c r="L261" s="100">
        <v>8547.271123518738</v>
      </c>
      <c r="M261" s="100">
        <v>0</v>
      </c>
      <c r="N261" s="100">
        <v>5515.5152610227415</v>
      </c>
      <c r="O261" s="100">
        <v>0</v>
      </c>
      <c r="P261" s="100">
        <v>14459.165426536603</v>
      </c>
      <c r="Q261" s="97" t="s">
        <v>738</v>
      </c>
    </row>
    <row r="262" spans="1:17">
      <c r="A262" s="98">
        <v>261</v>
      </c>
      <c r="B262" s="99" t="s">
        <v>867</v>
      </c>
      <c r="C262" s="99" t="s">
        <v>580</v>
      </c>
      <c r="D262" s="99" t="s">
        <v>581</v>
      </c>
      <c r="E262" s="99" t="s">
        <v>868</v>
      </c>
      <c r="F262" s="99" t="s">
        <v>115</v>
      </c>
      <c r="G262" s="99" t="s">
        <v>121</v>
      </c>
      <c r="H262" s="100">
        <v>0</v>
      </c>
      <c r="I262" s="100">
        <v>9726.6319739041992</v>
      </c>
      <c r="J262" s="100">
        <f t="shared" si="4"/>
        <v>9726.6319739041992</v>
      </c>
      <c r="K262" s="100">
        <v>0</v>
      </c>
      <c r="L262" s="100">
        <v>10384.559077314067</v>
      </c>
      <c r="M262" s="100">
        <v>0</v>
      </c>
      <c r="N262" s="100">
        <v>5096.0352567684486</v>
      </c>
      <c r="O262" s="100">
        <v>0</v>
      </c>
      <c r="P262" s="100">
        <v>18907.599894072373</v>
      </c>
      <c r="Q262" s="97" t="s">
        <v>737</v>
      </c>
    </row>
    <row r="263" spans="1:17">
      <c r="A263" s="98">
        <v>262</v>
      </c>
      <c r="B263" s="99" t="s">
        <v>869</v>
      </c>
      <c r="C263" s="99" t="s">
        <v>388</v>
      </c>
      <c r="D263" s="99" t="s">
        <v>389</v>
      </c>
      <c r="E263" s="99" t="s">
        <v>870</v>
      </c>
      <c r="F263" s="99" t="s">
        <v>116</v>
      </c>
      <c r="G263" s="99" t="s">
        <v>322</v>
      </c>
      <c r="H263" s="100">
        <v>0</v>
      </c>
      <c r="I263" s="100">
        <v>6139.9565693536088</v>
      </c>
      <c r="J263" s="100">
        <f t="shared" si="4"/>
        <v>6139.9565693536088</v>
      </c>
      <c r="K263" s="100">
        <v>0</v>
      </c>
      <c r="L263" s="100">
        <v>6389.3921515244974</v>
      </c>
      <c r="M263" s="100">
        <v>0</v>
      </c>
      <c r="N263" s="100">
        <v>3853.1761101526595</v>
      </c>
      <c r="O263" s="100">
        <v>0</v>
      </c>
      <c r="P263" s="100">
        <v>11632.147720640411</v>
      </c>
      <c r="Q263" s="97" t="s">
        <v>738</v>
      </c>
    </row>
    <row r="264" spans="1:17">
      <c r="A264" s="98">
        <v>263</v>
      </c>
      <c r="B264" s="99" t="s">
        <v>871</v>
      </c>
      <c r="C264" s="99" t="s">
        <v>462</v>
      </c>
      <c r="D264" s="99" t="s">
        <v>463</v>
      </c>
      <c r="E264" s="99" t="s">
        <v>872</v>
      </c>
      <c r="F264" s="99" t="s">
        <v>118</v>
      </c>
      <c r="G264" s="99" t="s">
        <v>325</v>
      </c>
      <c r="H264" s="100">
        <v>0</v>
      </c>
      <c r="I264" s="100">
        <v>6783.4626818481629</v>
      </c>
      <c r="J264" s="100">
        <f t="shared" si="4"/>
        <v>6783.4626818481629</v>
      </c>
      <c r="K264" s="100">
        <v>0</v>
      </c>
      <c r="L264" s="100">
        <v>6702.766466502243</v>
      </c>
      <c r="M264" s="100">
        <v>0</v>
      </c>
      <c r="N264" s="100">
        <v>4836.2944174298773</v>
      </c>
      <c r="O264" s="100">
        <v>0</v>
      </c>
      <c r="P264" s="100">
        <v>13239.826793177606</v>
      </c>
      <c r="Q264" s="97" t="s">
        <v>737</v>
      </c>
    </row>
    <row r="265" spans="1:17">
      <c r="A265" s="98">
        <v>264</v>
      </c>
      <c r="B265" s="99" t="s">
        <v>873</v>
      </c>
      <c r="C265" s="99" t="s">
        <v>652</v>
      </c>
      <c r="D265" s="99" t="s">
        <v>653</v>
      </c>
      <c r="E265" s="99" t="s">
        <v>874</v>
      </c>
      <c r="F265" s="99" t="s">
        <v>115</v>
      </c>
      <c r="G265" s="99" t="s">
        <v>322</v>
      </c>
      <c r="H265" s="100">
        <v>0</v>
      </c>
      <c r="I265" s="100">
        <v>8950.9864551695518</v>
      </c>
      <c r="J265" s="100">
        <f t="shared" si="4"/>
        <v>8950.9864551695518</v>
      </c>
      <c r="K265" s="100">
        <v>0</v>
      </c>
      <c r="L265" s="100">
        <v>8965.7378616030837</v>
      </c>
      <c r="M265" s="100">
        <v>0</v>
      </c>
      <c r="N265" s="100">
        <v>5451.6613506725116</v>
      </c>
      <c r="O265" s="100">
        <v>0</v>
      </c>
      <c r="P265" s="100">
        <v>16968.385023064919</v>
      </c>
      <c r="Q265" s="97" t="s">
        <v>737</v>
      </c>
    </row>
    <row r="266" spans="1:17">
      <c r="A266" s="98">
        <v>265</v>
      </c>
      <c r="B266" s="99" t="s">
        <v>875</v>
      </c>
      <c r="C266" s="99" t="s">
        <v>594</v>
      </c>
      <c r="D266" s="99" t="s">
        <v>595</v>
      </c>
      <c r="E266" s="99" t="s">
        <v>876</v>
      </c>
      <c r="F266" s="99" t="s">
        <v>115</v>
      </c>
      <c r="G266" s="99" t="s">
        <v>322</v>
      </c>
      <c r="H266" s="100">
        <v>0</v>
      </c>
      <c r="I266" s="100">
        <v>6821.4970758480586</v>
      </c>
      <c r="J266" s="100">
        <f t="shared" si="4"/>
        <v>6821.4970758480586</v>
      </c>
      <c r="K266" s="100">
        <v>0</v>
      </c>
      <c r="L266" s="100">
        <v>7367.2600510998145</v>
      </c>
      <c r="M266" s="100">
        <v>0</v>
      </c>
      <c r="N266" s="100">
        <v>4699.0131551294962</v>
      </c>
      <c r="O266" s="100">
        <v>0</v>
      </c>
      <c r="P266" s="100">
        <v>13050.615345629472</v>
      </c>
      <c r="Q266" s="97" t="s">
        <v>737</v>
      </c>
    </row>
    <row r="267" spans="1:17">
      <c r="A267" s="98">
        <v>266</v>
      </c>
      <c r="B267" s="99" t="s">
        <v>877</v>
      </c>
      <c r="C267" s="99" t="s">
        <v>386</v>
      </c>
      <c r="D267" s="99" t="s">
        <v>387</v>
      </c>
      <c r="E267" s="99" t="s">
        <v>878</v>
      </c>
      <c r="F267" s="99" t="s">
        <v>114</v>
      </c>
      <c r="G267" s="99" t="s">
        <v>322</v>
      </c>
      <c r="H267" s="100">
        <v>0</v>
      </c>
      <c r="I267" s="100">
        <v>8766.5390163829215</v>
      </c>
      <c r="J267" s="100">
        <f t="shared" si="4"/>
        <v>8766.5390163829215</v>
      </c>
      <c r="K267" s="100">
        <v>0</v>
      </c>
      <c r="L267" s="100">
        <v>9174.6169260054085</v>
      </c>
      <c r="M267" s="100">
        <v>0</v>
      </c>
      <c r="N267" s="100">
        <v>5468.5147555788062</v>
      </c>
      <c r="O267" s="100">
        <v>0</v>
      </c>
      <c r="P267" s="100">
        <v>17096.504389749975</v>
      </c>
      <c r="Q267" s="97" t="s">
        <v>738</v>
      </c>
    </row>
    <row r="268" spans="1:17">
      <c r="A268" s="98">
        <v>267</v>
      </c>
      <c r="B268" s="99" t="s">
        <v>879</v>
      </c>
      <c r="C268" s="99" t="s">
        <v>652</v>
      </c>
      <c r="D268" s="99" t="s">
        <v>653</v>
      </c>
      <c r="E268" s="99" t="s">
        <v>880</v>
      </c>
      <c r="F268" s="99" t="s">
        <v>115</v>
      </c>
      <c r="G268" s="99" t="s">
        <v>322</v>
      </c>
      <c r="H268" s="100">
        <v>0</v>
      </c>
      <c r="I268" s="100">
        <v>7498.9484772537726</v>
      </c>
      <c r="J268" s="100">
        <f t="shared" si="4"/>
        <v>7498.9484772537726</v>
      </c>
      <c r="K268" s="100">
        <v>0</v>
      </c>
      <c r="L268" s="100">
        <v>7512.0602373539123</v>
      </c>
      <c r="M268" s="100">
        <v>0</v>
      </c>
      <c r="N268" s="100">
        <v>4407.8953097720851</v>
      </c>
      <c r="O268" s="100">
        <v>0</v>
      </c>
      <c r="P268" s="100">
        <v>14215.756628329977</v>
      </c>
      <c r="Q268" s="97" t="s">
        <v>738</v>
      </c>
    </row>
    <row r="269" spans="1:17">
      <c r="A269" s="98">
        <v>268</v>
      </c>
      <c r="B269" s="99" t="s">
        <v>881</v>
      </c>
      <c r="C269" s="99" t="s">
        <v>614</v>
      </c>
      <c r="D269" s="99" t="s">
        <v>615</v>
      </c>
      <c r="E269" s="99" t="s">
        <v>882</v>
      </c>
      <c r="F269" s="99" t="s">
        <v>118</v>
      </c>
      <c r="G269" s="99" t="s">
        <v>325</v>
      </c>
      <c r="H269" s="100">
        <v>0</v>
      </c>
      <c r="I269" s="100">
        <v>9315.9794935539194</v>
      </c>
      <c r="J269" s="100">
        <f t="shared" si="4"/>
        <v>9315.9794935539194</v>
      </c>
      <c r="K269" s="100">
        <v>0</v>
      </c>
      <c r="L269" s="100">
        <v>9194.2399742075286</v>
      </c>
      <c r="M269" s="100">
        <v>0</v>
      </c>
      <c r="N269" s="100">
        <v>6250.9342951374356</v>
      </c>
      <c r="O269" s="100">
        <v>0</v>
      </c>
      <c r="P269" s="100">
        <v>18056.41777399608</v>
      </c>
      <c r="Q269" s="97" t="s">
        <v>738</v>
      </c>
    </row>
    <row r="270" spans="1:17">
      <c r="A270" s="98">
        <v>269</v>
      </c>
      <c r="B270" s="99" t="s">
        <v>883</v>
      </c>
      <c r="C270" s="99" t="s">
        <v>760</v>
      </c>
      <c r="D270" s="99" t="s">
        <v>509</v>
      </c>
      <c r="E270" s="99" t="s">
        <v>884</v>
      </c>
      <c r="F270" s="99" t="s">
        <v>115</v>
      </c>
      <c r="G270" s="99" t="s">
        <v>322</v>
      </c>
      <c r="H270" s="100">
        <v>0</v>
      </c>
      <c r="I270" s="100">
        <v>7538.6917185546326</v>
      </c>
      <c r="J270" s="100">
        <f t="shared" si="4"/>
        <v>7538.6917185546326</v>
      </c>
      <c r="K270" s="100">
        <v>0</v>
      </c>
      <c r="L270" s="100">
        <v>8070.3300027662517</v>
      </c>
      <c r="M270" s="100">
        <v>0</v>
      </c>
      <c r="N270" s="100">
        <v>5256.9776279391417</v>
      </c>
      <c r="O270" s="100">
        <v>0</v>
      </c>
      <c r="P270" s="100">
        <v>13989.550222121834</v>
      </c>
      <c r="Q270" s="97" t="s">
        <v>738</v>
      </c>
    </row>
    <row r="271" spans="1:17">
      <c r="A271" s="98">
        <v>270</v>
      </c>
      <c r="B271" s="99" t="s">
        <v>885</v>
      </c>
      <c r="C271" s="99" t="s">
        <v>652</v>
      </c>
      <c r="D271" s="99" t="s">
        <v>653</v>
      </c>
      <c r="E271" s="99" t="s">
        <v>886</v>
      </c>
      <c r="F271" s="99" t="s">
        <v>115</v>
      </c>
      <c r="G271" s="99" t="s">
        <v>322</v>
      </c>
      <c r="H271" s="100">
        <v>0</v>
      </c>
      <c r="I271" s="100">
        <v>8913.2855390537497</v>
      </c>
      <c r="J271" s="100">
        <f t="shared" si="4"/>
        <v>8913.2855390537497</v>
      </c>
      <c r="K271" s="100">
        <v>0</v>
      </c>
      <c r="L271" s="100">
        <v>8927.9235024097034</v>
      </c>
      <c r="M271" s="100">
        <v>0</v>
      </c>
      <c r="N271" s="100">
        <v>5442.2077608741665</v>
      </c>
      <c r="O271" s="100">
        <v>0</v>
      </c>
      <c r="P271" s="100">
        <v>16896.915396384193</v>
      </c>
      <c r="Q271" s="97" t="s">
        <v>737</v>
      </c>
    </row>
    <row r="272" spans="1:17">
      <c r="A272" s="98">
        <v>271</v>
      </c>
      <c r="B272" s="99" t="s">
        <v>887</v>
      </c>
      <c r="C272" s="99" t="s">
        <v>536</v>
      </c>
      <c r="D272" s="99" t="s">
        <v>537</v>
      </c>
      <c r="E272" s="99" t="s">
        <v>888</v>
      </c>
      <c r="F272" s="99" t="s">
        <v>117</v>
      </c>
      <c r="G272" s="99" t="s">
        <v>325</v>
      </c>
      <c r="H272" s="100">
        <v>0</v>
      </c>
      <c r="I272" s="100">
        <v>8516.5038947717458</v>
      </c>
      <c r="J272" s="100">
        <f t="shared" si="4"/>
        <v>8516.5038947717458</v>
      </c>
      <c r="K272" s="100">
        <v>0</v>
      </c>
      <c r="L272" s="100">
        <v>8265.8736175097347</v>
      </c>
      <c r="M272" s="100">
        <v>0</v>
      </c>
      <c r="N272" s="100">
        <v>5789.0701337506025</v>
      </c>
      <c r="O272" s="100">
        <v>0</v>
      </c>
      <c r="P272" s="100">
        <v>16182.038720377897</v>
      </c>
      <c r="Q272" s="97" t="s">
        <v>738</v>
      </c>
    </row>
    <row r="273" spans="1:17">
      <c r="A273" s="98">
        <v>272</v>
      </c>
      <c r="B273" s="99" t="s">
        <v>889</v>
      </c>
      <c r="C273" s="99" t="s">
        <v>362</v>
      </c>
      <c r="D273" s="99" t="s">
        <v>363</v>
      </c>
      <c r="E273" s="99" t="s">
        <v>890</v>
      </c>
      <c r="F273" s="99" t="s">
        <v>116</v>
      </c>
      <c r="G273" s="99" t="s">
        <v>322</v>
      </c>
      <c r="H273" s="100">
        <v>0</v>
      </c>
      <c r="I273" s="100">
        <v>6793.316117976934</v>
      </c>
      <c r="J273" s="100">
        <f t="shared" si="4"/>
        <v>6793.316117976934</v>
      </c>
      <c r="K273" s="100">
        <v>0</v>
      </c>
      <c r="L273" s="100">
        <v>7127.0980014567021</v>
      </c>
      <c r="M273" s="100">
        <v>0</v>
      </c>
      <c r="N273" s="100">
        <v>4272.2878941574736</v>
      </c>
      <c r="O273" s="100">
        <v>0</v>
      </c>
      <c r="P273" s="100">
        <v>12959.609158264597</v>
      </c>
      <c r="Q273" s="97" t="s">
        <v>738</v>
      </c>
    </row>
    <row r="274" spans="1:17">
      <c r="A274" s="98">
        <v>273</v>
      </c>
      <c r="B274" s="99" t="s">
        <v>891</v>
      </c>
      <c r="C274" s="99" t="s">
        <v>781</v>
      </c>
      <c r="D274" s="99" t="s">
        <v>417</v>
      </c>
      <c r="E274" s="99" t="s">
        <v>892</v>
      </c>
      <c r="F274" s="99" t="s">
        <v>117</v>
      </c>
      <c r="G274" s="99" t="s">
        <v>325</v>
      </c>
      <c r="H274" s="100">
        <v>0</v>
      </c>
      <c r="I274" s="100">
        <v>6001.2453302923177</v>
      </c>
      <c r="J274" s="100">
        <f t="shared" si="4"/>
        <v>6001.2453302923177</v>
      </c>
      <c r="K274" s="100">
        <v>0</v>
      </c>
      <c r="L274" s="100">
        <v>5305.5087758052423</v>
      </c>
      <c r="M274" s="100">
        <v>0</v>
      </c>
      <c r="N274" s="100">
        <v>3490.4754922300908</v>
      </c>
      <c r="O274" s="100">
        <v>0</v>
      </c>
      <c r="P274" s="100">
        <v>11618.590996805837</v>
      </c>
      <c r="Q274" s="97" t="s">
        <v>737</v>
      </c>
    </row>
    <row r="275" spans="1:17">
      <c r="A275" s="98">
        <v>274</v>
      </c>
      <c r="B275" s="99" t="s">
        <v>893</v>
      </c>
      <c r="C275" s="99" t="s">
        <v>338</v>
      </c>
      <c r="D275" s="99" t="s">
        <v>339</v>
      </c>
      <c r="E275" s="99" t="s">
        <v>894</v>
      </c>
      <c r="F275" s="99" t="s">
        <v>115</v>
      </c>
      <c r="G275" s="99" t="s">
        <v>322</v>
      </c>
      <c r="H275" s="100">
        <v>0</v>
      </c>
      <c r="I275" s="100">
        <v>8781.2006053687492</v>
      </c>
      <c r="J275" s="100">
        <f t="shared" si="4"/>
        <v>8781.2006053687492</v>
      </c>
      <c r="K275" s="100">
        <v>0</v>
      </c>
      <c r="L275" s="100">
        <v>8793.7239753594604</v>
      </c>
      <c r="M275" s="100">
        <v>0</v>
      </c>
      <c r="N275" s="100">
        <v>6124.1974321813441</v>
      </c>
      <c r="O275" s="100">
        <v>0</v>
      </c>
      <c r="P275" s="100">
        <v>17066.263376534167</v>
      </c>
      <c r="Q275" s="97" t="s">
        <v>738</v>
      </c>
    </row>
    <row r="276" spans="1:17">
      <c r="A276" s="98">
        <v>275</v>
      </c>
      <c r="B276" s="99" t="s">
        <v>895</v>
      </c>
      <c r="C276" s="99" t="s">
        <v>652</v>
      </c>
      <c r="D276" s="99" t="s">
        <v>653</v>
      </c>
      <c r="E276" s="99" t="s">
        <v>896</v>
      </c>
      <c r="F276" s="99" t="s">
        <v>115</v>
      </c>
      <c r="G276" s="99" t="s">
        <v>322</v>
      </c>
      <c r="H276" s="100">
        <v>0</v>
      </c>
      <c r="I276" s="100">
        <v>9217.4634182283189</v>
      </c>
      <c r="J276" s="100">
        <f t="shared" si="4"/>
        <v>9217.4634182283189</v>
      </c>
      <c r="K276" s="100">
        <v>0</v>
      </c>
      <c r="L276" s="100">
        <v>9231.8036206227043</v>
      </c>
      <c r="M276" s="100">
        <v>0</v>
      </c>
      <c r="N276" s="100">
        <v>5869.3060378879036</v>
      </c>
      <c r="O276" s="100">
        <v>0</v>
      </c>
      <c r="P276" s="100">
        <v>17473.545401935426</v>
      </c>
      <c r="Q276" s="97" t="s">
        <v>738</v>
      </c>
    </row>
    <row r="277" spans="1:17">
      <c r="A277" s="98">
        <v>276</v>
      </c>
      <c r="B277" s="99" t="s">
        <v>897</v>
      </c>
      <c r="C277" s="99" t="s">
        <v>831</v>
      </c>
      <c r="D277" s="99" t="s">
        <v>583</v>
      </c>
      <c r="E277" s="99" t="s">
        <v>898</v>
      </c>
      <c r="F277" s="99" t="s">
        <v>115</v>
      </c>
      <c r="G277" s="99" t="s">
        <v>322</v>
      </c>
      <c r="H277" s="100">
        <v>0</v>
      </c>
      <c r="I277" s="100">
        <v>7815.9241103268041</v>
      </c>
      <c r="J277" s="100">
        <f t="shared" si="4"/>
        <v>7815.9241103268041</v>
      </c>
      <c r="K277" s="100">
        <v>0</v>
      </c>
      <c r="L277" s="100">
        <v>7971.4386418739687</v>
      </c>
      <c r="M277" s="100">
        <v>0</v>
      </c>
      <c r="N277" s="100">
        <v>5398.0101903073719</v>
      </c>
      <c r="O277" s="100">
        <v>0</v>
      </c>
      <c r="P277" s="100">
        <v>15329.606435307271</v>
      </c>
      <c r="Q277" s="97" t="s">
        <v>738</v>
      </c>
    </row>
    <row r="278" spans="1:17">
      <c r="A278" s="98">
        <v>277</v>
      </c>
      <c r="B278" s="99" t="s">
        <v>899</v>
      </c>
      <c r="C278" s="99" t="s">
        <v>536</v>
      </c>
      <c r="D278" s="99" t="s">
        <v>537</v>
      </c>
      <c r="E278" s="99" t="s">
        <v>900</v>
      </c>
      <c r="F278" s="99" t="s">
        <v>117</v>
      </c>
      <c r="G278" s="99" t="s">
        <v>325</v>
      </c>
      <c r="H278" s="100">
        <v>0</v>
      </c>
      <c r="I278" s="100">
        <v>5847.690916177713</v>
      </c>
      <c r="J278" s="100">
        <f t="shared" si="4"/>
        <v>5847.690916177713</v>
      </c>
      <c r="K278" s="100">
        <v>0</v>
      </c>
      <c r="L278" s="100">
        <v>5639.8212843669762</v>
      </c>
      <c r="M278" s="100">
        <v>0</v>
      </c>
      <c r="N278" s="100">
        <v>3498.9439872614785</v>
      </c>
      <c r="O278" s="100">
        <v>0</v>
      </c>
      <c r="P278" s="100">
        <v>11111.080556010949</v>
      </c>
      <c r="Q278" s="97" t="s">
        <v>787</v>
      </c>
    </row>
    <row r="279" spans="1:17">
      <c r="A279" s="98">
        <v>278</v>
      </c>
      <c r="B279" s="99" t="s">
        <v>901</v>
      </c>
      <c r="C279" s="99" t="s">
        <v>462</v>
      </c>
      <c r="D279" s="99" t="s">
        <v>463</v>
      </c>
      <c r="E279" s="99" t="s">
        <v>902</v>
      </c>
      <c r="F279" s="99" t="s">
        <v>118</v>
      </c>
      <c r="G279" s="99" t="s">
        <v>325</v>
      </c>
      <c r="H279" s="100">
        <v>0</v>
      </c>
      <c r="I279" s="100">
        <v>6699.8914996862368</v>
      </c>
      <c r="J279" s="100">
        <f t="shared" si="4"/>
        <v>6699.8914996862368</v>
      </c>
      <c r="K279" s="100">
        <v>0</v>
      </c>
      <c r="L279" s="100">
        <v>6631.9911526598617</v>
      </c>
      <c r="M279" s="100">
        <v>0</v>
      </c>
      <c r="N279" s="100">
        <v>5065.4222673267896</v>
      </c>
      <c r="O279" s="100">
        <v>0</v>
      </c>
      <c r="P279" s="100">
        <v>13076.714231257603</v>
      </c>
      <c r="Q279" s="97" t="s">
        <v>738</v>
      </c>
    </row>
    <row r="280" spans="1:17">
      <c r="A280" s="98">
        <v>279</v>
      </c>
      <c r="B280" s="99" t="s">
        <v>903</v>
      </c>
      <c r="C280" s="99" t="s">
        <v>362</v>
      </c>
      <c r="D280" s="99" t="s">
        <v>363</v>
      </c>
      <c r="E280" s="99" t="s">
        <v>904</v>
      </c>
      <c r="F280" s="99" t="s">
        <v>116</v>
      </c>
      <c r="G280" s="99" t="s">
        <v>322</v>
      </c>
      <c r="H280" s="100">
        <v>0</v>
      </c>
      <c r="I280" s="100">
        <v>7875.1451429477593</v>
      </c>
      <c r="J280" s="100">
        <f t="shared" si="4"/>
        <v>7875.1451429477593</v>
      </c>
      <c r="K280" s="100">
        <v>0</v>
      </c>
      <c r="L280" s="100">
        <v>8208.8538606754373</v>
      </c>
      <c r="M280" s="100">
        <v>0</v>
      </c>
      <c r="N280" s="100">
        <v>5354.6950805461529</v>
      </c>
      <c r="O280" s="100">
        <v>0</v>
      </c>
      <c r="P280" s="100">
        <v>15023.41438920144</v>
      </c>
      <c r="Q280" s="97" t="s">
        <v>738</v>
      </c>
    </row>
    <row r="281" spans="1:17">
      <c r="A281" s="98">
        <v>280</v>
      </c>
      <c r="B281" s="99" t="s">
        <v>905</v>
      </c>
      <c r="C281" s="99" t="s">
        <v>366</v>
      </c>
      <c r="D281" s="99" t="s">
        <v>367</v>
      </c>
      <c r="E281" s="99" t="s">
        <v>906</v>
      </c>
      <c r="F281" s="99" t="s">
        <v>115</v>
      </c>
      <c r="G281" s="99" t="s">
        <v>322</v>
      </c>
      <c r="H281" s="100">
        <v>0</v>
      </c>
      <c r="I281" s="100">
        <v>8411.4161696056144</v>
      </c>
      <c r="J281" s="100">
        <f t="shared" si="4"/>
        <v>8411.4161696056144</v>
      </c>
      <c r="K281" s="100">
        <v>0</v>
      </c>
      <c r="L281" s="100">
        <v>8805.2963511640191</v>
      </c>
      <c r="M281" s="100">
        <v>0</v>
      </c>
      <c r="N281" s="100">
        <v>5883.323021878211</v>
      </c>
      <c r="O281" s="100">
        <v>0</v>
      </c>
      <c r="P281" s="100">
        <v>16463.664868769069</v>
      </c>
      <c r="Q281" s="97" t="s">
        <v>737</v>
      </c>
    </row>
    <row r="282" spans="1:17">
      <c r="A282" s="98">
        <v>281</v>
      </c>
      <c r="B282" s="99" t="s">
        <v>907</v>
      </c>
      <c r="C282" s="99" t="s">
        <v>652</v>
      </c>
      <c r="D282" s="99" t="s">
        <v>653</v>
      </c>
      <c r="E282" s="99" t="s">
        <v>908</v>
      </c>
      <c r="F282" s="99" t="s">
        <v>115</v>
      </c>
      <c r="G282" s="99" t="s">
        <v>322</v>
      </c>
      <c r="H282" s="100">
        <v>0</v>
      </c>
      <c r="I282" s="100">
        <v>8691.8479471347673</v>
      </c>
      <c r="J282" s="100">
        <f t="shared" si="4"/>
        <v>8691.8479471347673</v>
      </c>
      <c r="K282" s="100">
        <v>0</v>
      </c>
      <c r="L282" s="100">
        <v>8705.4473010255952</v>
      </c>
      <c r="M282" s="100">
        <v>0</v>
      </c>
      <c r="N282" s="100">
        <v>5458.0292167244725</v>
      </c>
      <c r="O282" s="100">
        <v>0</v>
      </c>
      <c r="P282" s="100">
        <v>16477.136153383377</v>
      </c>
      <c r="Q282" s="97" t="s">
        <v>738</v>
      </c>
    </row>
    <row r="283" spans="1:17">
      <c r="A283" s="98">
        <v>282</v>
      </c>
      <c r="B283" s="99" t="s">
        <v>909</v>
      </c>
      <c r="C283" s="99" t="s">
        <v>910</v>
      </c>
      <c r="D283" s="99" t="s">
        <v>685</v>
      </c>
      <c r="E283" s="99" t="s">
        <v>911</v>
      </c>
      <c r="F283" s="99" t="s">
        <v>115</v>
      </c>
      <c r="G283" s="99" t="s">
        <v>322</v>
      </c>
      <c r="H283" s="100">
        <v>0</v>
      </c>
      <c r="I283" s="100">
        <v>7695.9540756519173</v>
      </c>
      <c r="J283" s="100">
        <f t="shared" si="4"/>
        <v>7695.9540756519173</v>
      </c>
      <c r="K283" s="100">
        <v>0</v>
      </c>
      <c r="L283" s="100">
        <v>7554.319300733333</v>
      </c>
      <c r="M283" s="100">
        <v>0</v>
      </c>
      <c r="N283" s="100">
        <v>4694.7301020277782</v>
      </c>
      <c r="O283" s="100">
        <v>0</v>
      </c>
      <c r="P283" s="100">
        <v>15391.908151303835</v>
      </c>
      <c r="Q283" s="97" t="s">
        <v>787</v>
      </c>
    </row>
    <row r="284" spans="1:17">
      <c r="A284" s="98">
        <v>283</v>
      </c>
      <c r="B284" s="99" t="s">
        <v>912</v>
      </c>
      <c r="C284" s="99" t="s">
        <v>462</v>
      </c>
      <c r="D284" s="99" t="s">
        <v>463</v>
      </c>
      <c r="E284" s="99" t="s">
        <v>913</v>
      </c>
      <c r="F284" s="99" t="s">
        <v>118</v>
      </c>
      <c r="G284" s="99" t="s">
        <v>325</v>
      </c>
      <c r="H284" s="100">
        <v>0</v>
      </c>
      <c r="I284" s="100">
        <v>4309.6406763730793</v>
      </c>
      <c r="J284" s="100">
        <f t="shared" si="4"/>
        <v>4309.6406763730793</v>
      </c>
      <c r="K284" s="100">
        <v>0</v>
      </c>
      <c r="L284" s="100">
        <v>4228.9444610271612</v>
      </c>
      <c r="M284" s="100">
        <v>0</v>
      </c>
      <c r="N284" s="100">
        <v>2362.472411954795</v>
      </c>
      <c r="O284" s="100">
        <v>0</v>
      </c>
      <c r="P284" s="100">
        <v>8411.4704793314486</v>
      </c>
      <c r="Q284" s="97" t="s">
        <v>787</v>
      </c>
    </row>
    <row r="285" spans="1:17">
      <c r="A285" s="98">
        <v>284</v>
      </c>
      <c r="B285" s="99" t="s">
        <v>914</v>
      </c>
      <c r="C285" s="99" t="s">
        <v>831</v>
      </c>
      <c r="D285" s="99" t="s">
        <v>583</v>
      </c>
      <c r="E285" s="99" t="s">
        <v>915</v>
      </c>
      <c r="F285" s="99" t="s">
        <v>115</v>
      </c>
      <c r="G285" s="99" t="s">
        <v>322</v>
      </c>
      <c r="H285" s="100">
        <v>0</v>
      </c>
      <c r="I285" s="100">
        <v>8272.6520175296537</v>
      </c>
      <c r="J285" s="100">
        <f t="shared" si="4"/>
        <v>8272.6520175296537</v>
      </c>
      <c r="K285" s="100">
        <v>0</v>
      </c>
      <c r="L285" s="100">
        <v>8447.6913870349872</v>
      </c>
      <c r="M285" s="100">
        <v>0</v>
      </c>
      <c r="N285" s="100">
        <v>5531.7219186583707</v>
      </c>
      <c r="O285" s="100">
        <v>0</v>
      </c>
      <c r="P285" s="100">
        <v>16225.400581541435</v>
      </c>
      <c r="Q285" s="97" t="s">
        <v>737</v>
      </c>
    </row>
    <row r="286" spans="1:17">
      <c r="A286" s="98">
        <v>285</v>
      </c>
      <c r="B286" s="99" t="s">
        <v>916</v>
      </c>
      <c r="C286" s="99" t="s">
        <v>580</v>
      </c>
      <c r="D286" s="99" t="s">
        <v>581</v>
      </c>
      <c r="E286" s="99" t="s">
        <v>917</v>
      </c>
      <c r="F286" s="99" t="s">
        <v>115</v>
      </c>
      <c r="G286" s="99" t="s">
        <v>121</v>
      </c>
      <c r="H286" s="100">
        <v>0</v>
      </c>
      <c r="I286" s="100">
        <v>8679.0334540715758</v>
      </c>
      <c r="J286" s="100">
        <f t="shared" si="4"/>
        <v>8679.0334540715758</v>
      </c>
      <c r="K286" s="100">
        <v>0</v>
      </c>
      <c r="L286" s="100">
        <v>9130.8965061389626</v>
      </c>
      <c r="M286" s="100">
        <v>0</v>
      </c>
      <c r="N286" s="100">
        <v>5578.9730584218769</v>
      </c>
      <c r="O286" s="100">
        <v>0</v>
      </c>
      <c r="P286" s="100">
        <v>16871.173131369738</v>
      </c>
      <c r="Q286" s="97" t="s">
        <v>738</v>
      </c>
    </row>
    <row r="287" spans="1:17">
      <c r="A287" s="98">
        <v>286</v>
      </c>
      <c r="B287" s="99" t="s">
        <v>918</v>
      </c>
      <c r="C287" s="99" t="s">
        <v>480</v>
      </c>
      <c r="D287" s="99" t="s">
        <v>481</v>
      </c>
      <c r="E287" s="99" t="s">
        <v>919</v>
      </c>
      <c r="F287" s="99" t="s">
        <v>117</v>
      </c>
      <c r="G287" s="99" t="s">
        <v>325</v>
      </c>
      <c r="H287" s="100">
        <v>0</v>
      </c>
      <c r="I287" s="100">
        <v>8322.0927957851873</v>
      </c>
      <c r="J287" s="100">
        <f t="shared" si="4"/>
        <v>8322.0927957851873</v>
      </c>
      <c r="K287" s="100">
        <v>0</v>
      </c>
      <c r="L287" s="100">
        <v>7867.8187287517876</v>
      </c>
      <c r="M287" s="100">
        <v>0</v>
      </c>
      <c r="N287" s="100">
        <v>5416.9818870230611</v>
      </c>
      <c r="O287" s="100">
        <v>0</v>
      </c>
      <c r="P287" s="100">
        <v>15047.092763131237</v>
      </c>
      <c r="Q287" s="97" t="s">
        <v>738</v>
      </c>
    </row>
    <row r="288" spans="1:17">
      <c r="A288" s="98">
        <v>287</v>
      </c>
      <c r="B288" s="99" t="s">
        <v>920</v>
      </c>
      <c r="C288" s="99" t="s">
        <v>462</v>
      </c>
      <c r="D288" s="99" t="s">
        <v>463</v>
      </c>
      <c r="E288" s="99" t="s">
        <v>921</v>
      </c>
      <c r="F288" s="99" t="s">
        <v>118</v>
      </c>
      <c r="G288" s="99" t="s">
        <v>325</v>
      </c>
      <c r="H288" s="100">
        <v>0</v>
      </c>
      <c r="I288" s="100">
        <v>6982.5837049692727</v>
      </c>
      <c r="J288" s="100">
        <f t="shared" si="4"/>
        <v>6982.5837049692727</v>
      </c>
      <c r="K288" s="100">
        <v>0</v>
      </c>
      <c r="L288" s="100">
        <v>6897.6927549894635</v>
      </c>
      <c r="M288" s="100">
        <v>0</v>
      </c>
      <c r="N288" s="100">
        <v>5031.8032345753554</v>
      </c>
      <c r="O288" s="100">
        <v>0</v>
      </c>
      <c r="P288" s="100">
        <v>13628.467223684926</v>
      </c>
      <c r="Q288" s="97" t="s">
        <v>738</v>
      </c>
    </row>
    <row r="289" spans="1:17">
      <c r="A289" s="98">
        <v>288</v>
      </c>
      <c r="B289" s="99" t="s">
        <v>922</v>
      </c>
      <c r="C289" s="99" t="s">
        <v>440</v>
      </c>
      <c r="D289" s="99" t="s">
        <v>441</v>
      </c>
      <c r="E289" s="99" t="s">
        <v>923</v>
      </c>
      <c r="F289" s="99" t="s">
        <v>115</v>
      </c>
      <c r="G289" s="99" t="s">
        <v>121</v>
      </c>
      <c r="H289" s="100">
        <v>0</v>
      </c>
      <c r="I289" s="100">
        <v>14687.404933268095</v>
      </c>
      <c r="J289" s="100">
        <f t="shared" si="4"/>
        <v>14687.404933268095</v>
      </c>
      <c r="K289" s="100">
        <v>0</v>
      </c>
      <c r="L289" s="100">
        <v>16120.64449395303</v>
      </c>
      <c r="M289" s="100">
        <v>0</v>
      </c>
      <c r="N289" s="100">
        <v>10752.299502544693</v>
      </c>
      <c r="O289" s="100">
        <v>0</v>
      </c>
      <c r="P289" s="100">
        <v>27549.165433330967</v>
      </c>
      <c r="Q289" s="97" t="s">
        <v>738</v>
      </c>
    </row>
    <row r="290" spans="1:17">
      <c r="A290" s="98">
        <v>289</v>
      </c>
      <c r="B290" s="99" t="s">
        <v>924</v>
      </c>
      <c r="C290" s="99" t="s">
        <v>362</v>
      </c>
      <c r="D290" s="99" t="s">
        <v>363</v>
      </c>
      <c r="E290" s="99" t="s">
        <v>925</v>
      </c>
      <c r="F290" s="99" t="s">
        <v>116</v>
      </c>
      <c r="G290" s="99" t="s">
        <v>322</v>
      </c>
      <c r="H290" s="100">
        <v>0</v>
      </c>
      <c r="I290" s="100">
        <v>8118.5242648135772</v>
      </c>
      <c r="J290" s="100">
        <f t="shared" si="4"/>
        <v>8118.5242648135772</v>
      </c>
      <c r="K290" s="100">
        <v>0</v>
      </c>
      <c r="L290" s="100">
        <v>8443.0608715979306</v>
      </c>
      <c r="M290" s="100">
        <v>0</v>
      </c>
      <c r="N290" s="100">
        <v>5670.5529307267234</v>
      </c>
      <c r="O290" s="100">
        <v>0</v>
      </c>
      <c r="P290" s="100">
        <v>15487.708739984861</v>
      </c>
      <c r="Q290" s="97" t="s">
        <v>737</v>
      </c>
    </row>
    <row r="291" spans="1:17">
      <c r="A291" s="98">
        <v>290</v>
      </c>
      <c r="B291" s="99" t="s">
        <v>926</v>
      </c>
      <c r="C291" s="99" t="s">
        <v>580</v>
      </c>
      <c r="D291" s="99" t="s">
        <v>581</v>
      </c>
      <c r="E291" s="99" t="s">
        <v>927</v>
      </c>
      <c r="F291" s="99" t="s">
        <v>115</v>
      </c>
      <c r="G291" s="99" t="s">
        <v>121</v>
      </c>
      <c r="H291" s="100">
        <v>0</v>
      </c>
      <c r="I291" s="100">
        <v>10844.239103900602</v>
      </c>
      <c r="J291" s="100">
        <f t="shared" si="4"/>
        <v>10844.239103900602</v>
      </c>
      <c r="K291" s="100">
        <v>0</v>
      </c>
      <c r="L291" s="100">
        <v>11502.166207310462</v>
      </c>
      <c r="M291" s="100">
        <v>0</v>
      </c>
      <c r="N291" s="100">
        <v>6213.6423867648491</v>
      </c>
      <c r="O291" s="100">
        <v>0</v>
      </c>
      <c r="P291" s="100">
        <v>21080.116394072382</v>
      </c>
      <c r="Q291" s="97" t="s">
        <v>737</v>
      </c>
    </row>
    <row r="292" spans="1:17">
      <c r="A292" s="98">
        <v>291</v>
      </c>
      <c r="B292" s="99" t="s">
        <v>928</v>
      </c>
      <c r="C292" s="99" t="s">
        <v>652</v>
      </c>
      <c r="D292" s="99" t="s">
        <v>653</v>
      </c>
      <c r="E292" s="99" t="s">
        <v>929</v>
      </c>
      <c r="F292" s="99" t="s">
        <v>115</v>
      </c>
      <c r="G292" s="99" t="s">
        <v>322</v>
      </c>
      <c r="H292" s="100">
        <v>0</v>
      </c>
      <c r="I292" s="100">
        <v>8758.528353864187</v>
      </c>
      <c r="J292" s="100">
        <f t="shared" si="4"/>
        <v>8758.528353864187</v>
      </c>
      <c r="K292" s="100">
        <v>0</v>
      </c>
      <c r="L292" s="100">
        <v>8772.7006486588853</v>
      </c>
      <c r="M292" s="100">
        <v>0</v>
      </c>
      <c r="N292" s="100">
        <v>5403.4020474364615</v>
      </c>
      <c r="O292" s="100">
        <v>0</v>
      </c>
      <c r="P292" s="100">
        <v>16603.542200420339</v>
      </c>
      <c r="Q292" s="97" t="s">
        <v>737</v>
      </c>
    </row>
    <row r="293" spans="1:17">
      <c r="A293" s="98">
        <v>292</v>
      </c>
      <c r="B293" s="99" t="s">
        <v>930</v>
      </c>
      <c r="C293" s="99" t="s">
        <v>664</v>
      </c>
      <c r="D293" s="99" t="s">
        <v>665</v>
      </c>
      <c r="E293" s="99" t="s">
        <v>931</v>
      </c>
      <c r="F293" s="99" t="s">
        <v>120</v>
      </c>
      <c r="G293" s="99" t="s">
        <v>121</v>
      </c>
      <c r="H293" s="100">
        <v>0</v>
      </c>
      <c r="I293" s="100">
        <v>14304.371859842544</v>
      </c>
      <c r="J293" s="100">
        <f t="shared" si="4"/>
        <v>14304.371859842544</v>
      </c>
      <c r="K293" s="100">
        <v>0</v>
      </c>
      <c r="L293" s="100">
        <v>14718.61439542484</v>
      </c>
      <c r="M293" s="100">
        <v>0</v>
      </c>
      <c r="N293" s="100">
        <v>9519.5211712715409</v>
      </c>
      <c r="O293" s="100">
        <v>0</v>
      </c>
      <c r="P293" s="100">
        <v>28086.634146800836</v>
      </c>
      <c r="Q293" s="97" t="s">
        <v>787</v>
      </c>
    </row>
    <row r="294" spans="1:17">
      <c r="A294" s="98">
        <v>293</v>
      </c>
      <c r="B294" s="99" t="s">
        <v>932</v>
      </c>
      <c r="C294" s="99" t="s">
        <v>468</v>
      </c>
      <c r="D294" s="99" t="s">
        <v>469</v>
      </c>
      <c r="E294" s="99" t="s">
        <v>933</v>
      </c>
      <c r="F294" s="99" t="s">
        <v>117</v>
      </c>
      <c r="G294" s="99" t="s">
        <v>322</v>
      </c>
      <c r="H294" s="100">
        <v>0</v>
      </c>
      <c r="I294" s="100">
        <v>9815.6064859110938</v>
      </c>
      <c r="J294" s="100">
        <f t="shared" si="4"/>
        <v>9815.6064859110938</v>
      </c>
      <c r="K294" s="100">
        <v>0</v>
      </c>
      <c r="L294" s="100">
        <v>8630.6335437666348</v>
      </c>
      <c r="M294" s="100">
        <v>0</v>
      </c>
      <c r="N294" s="100">
        <v>6172.6972802064502</v>
      </c>
      <c r="O294" s="100">
        <v>0</v>
      </c>
      <c r="P294" s="100">
        <v>18127.265746050889</v>
      </c>
      <c r="Q294" s="97" t="s">
        <v>738</v>
      </c>
    </row>
    <row r="295" spans="1:17">
      <c r="A295" s="98">
        <v>294</v>
      </c>
      <c r="B295" s="99" t="s">
        <v>934</v>
      </c>
      <c r="C295" s="99" t="s">
        <v>580</v>
      </c>
      <c r="D295" s="99" t="s">
        <v>581</v>
      </c>
      <c r="E295" s="99" t="s">
        <v>935</v>
      </c>
      <c r="F295" s="99" t="s">
        <v>115</v>
      </c>
      <c r="G295" s="99" t="s">
        <v>121</v>
      </c>
      <c r="H295" s="100">
        <v>0</v>
      </c>
      <c r="I295" s="100">
        <v>8549.8307448919695</v>
      </c>
      <c r="J295" s="100">
        <f t="shared" si="4"/>
        <v>8549.8307448919695</v>
      </c>
      <c r="K295" s="100">
        <v>0</v>
      </c>
      <c r="L295" s="100">
        <v>8990.7930952528804</v>
      </c>
      <c r="M295" s="100">
        <v>0</v>
      </c>
      <c r="N295" s="100">
        <v>5578.045237666548</v>
      </c>
      <c r="O295" s="100">
        <v>0</v>
      </c>
      <c r="P295" s="100">
        <v>16620.015984995502</v>
      </c>
      <c r="Q295" s="97" t="s">
        <v>738</v>
      </c>
    </row>
    <row r="296" spans="1:17">
      <c r="A296" s="98">
        <v>295</v>
      </c>
      <c r="B296" s="99" t="s">
        <v>936</v>
      </c>
      <c r="C296" s="99" t="s">
        <v>388</v>
      </c>
      <c r="D296" s="99" t="s">
        <v>389</v>
      </c>
      <c r="E296" s="99" t="s">
        <v>937</v>
      </c>
      <c r="F296" s="99" t="s">
        <v>116</v>
      </c>
      <c r="G296" s="99" t="s">
        <v>322</v>
      </c>
      <c r="H296" s="100">
        <v>0</v>
      </c>
      <c r="I296" s="100">
        <v>7426.8662222720095</v>
      </c>
      <c r="J296" s="100">
        <f t="shared" si="4"/>
        <v>7426.8662222720095</v>
      </c>
      <c r="K296" s="100">
        <v>0</v>
      </c>
      <c r="L296" s="100">
        <v>7703.909530580213</v>
      </c>
      <c r="M296" s="100">
        <v>0</v>
      </c>
      <c r="N296" s="100">
        <v>4996.5471881207395</v>
      </c>
      <c r="O296" s="100">
        <v>0</v>
      </c>
      <c r="P296" s="100">
        <v>14070.19805809432</v>
      </c>
      <c r="Q296" s="97" t="s">
        <v>738</v>
      </c>
    </row>
    <row r="297" spans="1:17">
      <c r="A297" s="98">
        <v>296</v>
      </c>
      <c r="B297" s="99" t="s">
        <v>938</v>
      </c>
      <c r="C297" s="99" t="s">
        <v>362</v>
      </c>
      <c r="D297" s="99" t="s">
        <v>363</v>
      </c>
      <c r="E297" s="99" t="s">
        <v>939</v>
      </c>
      <c r="F297" s="99" t="s">
        <v>116</v>
      </c>
      <c r="G297" s="99" t="s">
        <v>322</v>
      </c>
      <c r="H297" s="100">
        <v>0</v>
      </c>
      <c r="I297" s="100">
        <v>8258.6613949762068</v>
      </c>
      <c r="J297" s="100">
        <f t="shared" si="4"/>
        <v>8258.6613949762068</v>
      </c>
      <c r="K297" s="100">
        <v>0</v>
      </c>
      <c r="L297" s="100">
        <v>8680.5896922996308</v>
      </c>
      <c r="M297" s="100">
        <v>0</v>
      </c>
      <c r="N297" s="100">
        <v>5266.8854415485193</v>
      </c>
      <c r="O297" s="100">
        <v>0</v>
      </c>
      <c r="P297" s="100">
        <v>15755.048343196111</v>
      </c>
      <c r="Q297" s="97" t="s">
        <v>738</v>
      </c>
    </row>
    <row r="298" spans="1:17">
      <c r="A298" s="98">
        <v>297</v>
      </c>
      <c r="B298" s="99" t="s">
        <v>940</v>
      </c>
      <c r="C298" s="99" t="s">
        <v>366</v>
      </c>
      <c r="D298" s="99" t="s">
        <v>367</v>
      </c>
      <c r="E298" s="99" t="s">
        <v>941</v>
      </c>
      <c r="F298" s="99" t="s">
        <v>115</v>
      </c>
      <c r="G298" s="99" t="s">
        <v>322</v>
      </c>
      <c r="H298" s="100">
        <v>0</v>
      </c>
      <c r="I298" s="100">
        <v>7982.736512045597</v>
      </c>
      <c r="J298" s="100">
        <f t="shared" si="4"/>
        <v>7982.736512045597</v>
      </c>
      <c r="K298" s="100">
        <v>0</v>
      </c>
      <c r="L298" s="100">
        <v>8411.1084721697134</v>
      </c>
      <c r="M298" s="100">
        <v>0</v>
      </c>
      <c r="N298" s="100">
        <v>5219.6681228392854</v>
      </c>
      <c r="O298" s="100">
        <v>0</v>
      </c>
      <c r="P298" s="100">
        <v>15624.610175026848</v>
      </c>
      <c r="Q298" s="97" t="s">
        <v>738</v>
      </c>
    </row>
    <row r="299" spans="1:17">
      <c r="A299" s="98">
        <v>298</v>
      </c>
      <c r="B299" s="99" t="s">
        <v>942</v>
      </c>
      <c r="C299" s="99" t="s">
        <v>536</v>
      </c>
      <c r="D299" s="99" t="s">
        <v>537</v>
      </c>
      <c r="E299" s="99" t="s">
        <v>943</v>
      </c>
      <c r="F299" s="99" t="s">
        <v>117</v>
      </c>
      <c r="G299" s="99" t="s">
        <v>325</v>
      </c>
      <c r="H299" s="100">
        <v>0</v>
      </c>
      <c r="I299" s="100">
        <v>5847.690916177713</v>
      </c>
      <c r="J299" s="100">
        <f t="shared" si="4"/>
        <v>5847.690916177713</v>
      </c>
      <c r="K299" s="100">
        <v>0</v>
      </c>
      <c r="L299" s="100">
        <v>5639.8212843669762</v>
      </c>
      <c r="M299" s="100">
        <v>0</v>
      </c>
      <c r="N299" s="100">
        <v>3498.9439872614785</v>
      </c>
      <c r="O299" s="100">
        <v>0</v>
      </c>
      <c r="P299" s="100">
        <v>11111.080556010949</v>
      </c>
      <c r="Q299" s="97" t="s">
        <v>787</v>
      </c>
    </row>
    <row r="300" spans="1:17">
      <c r="A300" s="98">
        <v>299</v>
      </c>
      <c r="B300" s="99" t="s">
        <v>944</v>
      </c>
      <c r="C300" s="99" t="s">
        <v>362</v>
      </c>
      <c r="D300" s="99" t="s">
        <v>363</v>
      </c>
      <c r="E300" s="99" t="s">
        <v>945</v>
      </c>
      <c r="F300" s="99" t="s">
        <v>116</v>
      </c>
      <c r="G300" s="99" t="s">
        <v>322</v>
      </c>
      <c r="H300" s="100">
        <v>0</v>
      </c>
      <c r="I300" s="100">
        <v>7805.3259999821321</v>
      </c>
      <c r="J300" s="100">
        <f t="shared" si="4"/>
        <v>7805.3259999821321</v>
      </c>
      <c r="K300" s="100">
        <v>0</v>
      </c>
      <c r="L300" s="100">
        <v>8122.4038809533677</v>
      </c>
      <c r="M300" s="100">
        <v>0</v>
      </c>
      <c r="N300" s="100">
        <v>5416.2940927211894</v>
      </c>
      <c r="O300" s="100">
        <v>0</v>
      </c>
      <c r="P300" s="100">
        <v>14890.220410165914</v>
      </c>
      <c r="Q300" s="97" t="s">
        <v>738</v>
      </c>
    </row>
    <row r="301" spans="1:17">
      <c r="A301" s="98">
        <v>300</v>
      </c>
      <c r="B301" s="99" t="s">
        <v>946</v>
      </c>
      <c r="C301" s="99" t="s">
        <v>346</v>
      </c>
      <c r="D301" s="99" t="s">
        <v>347</v>
      </c>
      <c r="E301" s="99" t="s">
        <v>947</v>
      </c>
      <c r="F301" s="99" t="s">
        <v>115</v>
      </c>
      <c r="G301" s="99" t="s">
        <v>322</v>
      </c>
      <c r="H301" s="100">
        <v>0</v>
      </c>
      <c r="I301" s="100">
        <v>8868.0242527485607</v>
      </c>
      <c r="J301" s="100">
        <f t="shared" si="4"/>
        <v>8868.0242527485607</v>
      </c>
      <c r="K301" s="100">
        <v>0</v>
      </c>
      <c r="L301" s="100">
        <v>9137.2293306322445</v>
      </c>
      <c r="M301" s="100">
        <v>0</v>
      </c>
      <c r="N301" s="100">
        <v>6167.4986463839286</v>
      </c>
      <c r="O301" s="100">
        <v>0</v>
      </c>
      <c r="P301" s="100">
        <v>17419.460039673999</v>
      </c>
      <c r="Q301" s="97" t="s">
        <v>738</v>
      </c>
    </row>
    <row r="302" spans="1:17">
      <c r="A302" s="98">
        <v>301</v>
      </c>
      <c r="B302" s="99" t="s">
        <v>948</v>
      </c>
      <c r="C302" s="99" t="s">
        <v>462</v>
      </c>
      <c r="D302" s="99" t="s">
        <v>463</v>
      </c>
      <c r="E302" s="99" t="s">
        <v>949</v>
      </c>
      <c r="F302" s="99" t="s">
        <v>118</v>
      </c>
      <c r="G302" s="99" t="s">
        <v>325</v>
      </c>
      <c r="H302" s="100">
        <v>0</v>
      </c>
      <c r="I302" s="100">
        <v>4309.6406763730793</v>
      </c>
      <c r="J302" s="100">
        <f t="shared" si="4"/>
        <v>4309.6406763730793</v>
      </c>
      <c r="K302" s="100">
        <v>0</v>
      </c>
      <c r="L302" s="100">
        <v>4228.9444610271612</v>
      </c>
      <c r="M302" s="100">
        <v>0</v>
      </c>
      <c r="N302" s="100">
        <v>2362.472411954795</v>
      </c>
      <c r="O302" s="100">
        <v>0</v>
      </c>
      <c r="P302" s="100">
        <v>8411.4704793314486</v>
      </c>
      <c r="Q302" s="97" t="s">
        <v>787</v>
      </c>
    </row>
    <row r="303" spans="1:17">
      <c r="A303" s="98">
        <v>302</v>
      </c>
      <c r="B303" s="99" t="s">
        <v>950</v>
      </c>
      <c r="C303" s="99" t="s">
        <v>484</v>
      </c>
      <c r="D303" s="99" t="s">
        <v>485</v>
      </c>
      <c r="E303" s="99" t="s">
        <v>951</v>
      </c>
      <c r="F303" s="99" t="s">
        <v>119</v>
      </c>
      <c r="G303" s="99" t="s">
        <v>325</v>
      </c>
      <c r="H303" s="100">
        <v>0</v>
      </c>
      <c r="I303" s="100">
        <v>10914.471739029412</v>
      </c>
      <c r="J303" s="100">
        <f t="shared" si="4"/>
        <v>10914.471739029412</v>
      </c>
      <c r="K303" s="100">
        <v>0</v>
      </c>
      <c r="L303" s="100">
        <v>9686.1055671036665</v>
      </c>
      <c r="M303" s="100">
        <v>0</v>
      </c>
      <c r="N303" s="100">
        <v>6926.4850892177246</v>
      </c>
      <c r="O303" s="100">
        <v>0</v>
      </c>
      <c r="P303" s="100">
        <v>21212.930693108003</v>
      </c>
      <c r="Q303" s="97" t="s">
        <v>738</v>
      </c>
    </row>
    <row r="304" spans="1:17">
      <c r="A304" s="98">
        <v>303</v>
      </c>
      <c r="B304" s="99" t="s">
        <v>952</v>
      </c>
      <c r="C304" s="99" t="s">
        <v>440</v>
      </c>
      <c r="D304" s="99" t="s">
        <v>441</v>
      </c>
      <c r="E304" s="99" t="s">
        <v>953</v>
      </c>
      <c r="F304" s="99" t="s">
        <v>115</v>
      </c>
      <c r="G304" s="99" t="s">
        <v>121</v>
      </c>
      <c r="H304" s="100">
        <v>0</v>
      </c>
      <c r="I304" s="100">
        <v>13333.734617004893</v>
      </c>
      <c r="J304" s="100">
        <f t="shared" si="4"/>
        <v>13333.734617004893</v>
      </c>
      <c r="K304" s="100">
        <v>0</v>
      </c>
      <c r="L304" s="100">
        <v>15009.260686083033</v>
      </c>
      <c r="M304" s="100">
        <v>0</v>
      </c>
      <c r="N304" s="100">
        <v>8631.5142492161031</v>
      </c>
      <c r="O304" s="100">
        <v>0</v>
      </c>
      <c r="P304" s="100">
        <v>25010.086021116083</v>
      </c>
      <c r="Q304" s="97" t="s">
        <v>737</v>
      </c>
    </row>
    <row r="305" spans="1:17">
      <c r="A305" s="98">
        <v>304</v>
      </c>
      <c r="B305" s="99" t="s">
        <v>954</v>
      </c>
      <c r="C305" s="99" t="s">
        <v>362</v>
      </c>
      <c r="D305" s="99" t="s">
        <v>363</v>
      </c>
      <c r="E305" s="99" t="s">
        <v>955</v>
      </c>
      <c r="F305" s="99" t="s">
        <v>116</v>
      </c>
      <c r="G305" s="99" t="s">
        <v>322</v>
      </c>
      <c r="H305" s="100">
        <v>0</v>
      </c>
      <c r="I305" s="100">
        <v>9913.6204683816668</v>
      </c>
      <c r="J305" s="100">
        <f t="shared" si="4"/>
        <v>9913.6204683816668</v>
      </c>
      <c r="K305" s="100">
        <v>0</v>
      </c>
      <c r="L305" s="100">
        <v>10277.24483299537</v>
      </c>
      <c r="M305" s="100">
        <v>0</v>
      </c>
      <c r="N305" s="100">
        <v>7156.7746562545708</v>
      </c>
      <c r="O305" s="100">
        <v>0</v>
      </c>
      <c r="P305" s="100">
        <v>18912.213767531706</v>
      </c>
      <c r="Q305" s="97" t="s">
        <v>738</v>
      </c>
    </row>
    <row r="306" spans="1:17">
      <c r="A306" s="98">
        <v>305</v>
      </c>
      <c r="B306" s="99" t="s">
        <v>956</v>
      </c>
      <c r="C306" s="99" t="s">
        <v>320</v>
      </c>
      <c r="D306" s="99" t="s">
        <v>321</v>
      </c>
      <c r="E306" s="99" t="s">
        <v>957</v>
      </c>
      <c r="F306" s="99" t="s">
        <v>115</v>
      </c>
      <c r="G306" s="99" t="s">
        <v>322</v>
      </c>
      <c r="H306" s="100">
        <v>0</v>
      </c>
      <c r="I306" s="100">
        <v>10231.879516083438</v>
      </c>
      <c r="J306" s="100">
        <f t="shared" si="4"/>
        <v>10231.879516083438</v>
      </c>
      <c r="K306" s="100">
        <v>0</v>
      </c>
      <c r="L306" s="100">
        <v>10796.005049497788</v>
      </c>
      <c r="M306" s="100">
        <v>0</v>
      </c>
      <c r="N306" s="100">
        <v>7323.3628621737244</v>
      </c>
      <c r="O306" s="100">
        <v>0</v>
      </c>
      <c r="P306" s="100">
        <v>19273.893763241533</v>
      </c>
      <c r="Q306" s="97" t="s">
        <v>738</v>
      </c>
    </row>
    <row r="307" spans="1:17">
      <c r="A307" s="98">
        <v>306</v>
      </c>
      <c r="B307" s="99" t="s">
        <v>958</v>
      </c>
      <c r="C307" s="99" t="s">
        <v>658</v>
      </c>
      <c r="D307" s="99" t="s">
        <v>659</v>
      </c>
      <c r="E307" s="99" t="s">
        <v>959</v>
      </c>
      <c r="F307" s="99" t="s">
        <v>115</v>
      </c>
      <c r="G307" s="99" t="s">
        <v>325</v>
      </c>
      <c r="H307" s="100">
        <v>0</v>
      </c>
      <c r="I307" s="100">
        <v>10055.569585024847</v>
      </c>
      <c r="J307" s="100">
        <f t="shared" si="4"/>
        <v>10055.569585024847</v>
      </c>
      <c r="K307" s="100">
        <v>0</v>
      </c>
      <c r="L307" s="100">
        <v>10732.002378658535</v>
      </c>
      <c r="M307" s="100">
        <v>0</v>
      </c>
      <c r="N307" s="100">
        <v>7440.5104577743905</v>
      </c>
      <c r="O307" s="100">
        <v>0</v>
      </c>
      <c r="P307" s="100">
        <v>20111.139170049693</v>
      </c>
      <c r="Q307" s="97" t="s">
        <v>738</v>
      </c>
    </row>
    <row r="308" spans="1:17">
      <c r="A308" s="98">
        <v>307</v>
      </c>
      <c r="B308" s="99" t="s">
        <v>960</v>
      </c>
      <c r="C308" s="99" t="s">
        <v>652</v>
      </c>
      <c r="D308" s="99" t="s">
        <v>653</v>
      </c>
      <c r="E308" s="99" t="s">
        <v>961</v>
      </c>
      <c r="F308" s="99" t="s">
        <v>115</v>
      </c>
      <c r="G308" s="99" t="s">
        <v>322</v>
      </c>
      <c r="H308" s="100">
        <v>0</v>
      </c>
      <c r="I308" s="100">
        <v>9033.1748974240891</v>
      </c>
      <c r="J308" s="100">
        <f t="shared" si="4"/>
        <v>9033.1748974240891</v>
      </c>
      <c r="K308" s="100">
        <v>0</v>
      </c>
      <c r="L308" s="100">
        <v>9046.5824026093305</v>
      </c>
      <c r="M308" s="100">
        <v>0</v>
      </c>
      <c r="N308" s="100">
        <v>5868.4812037515476</v>
      </c>
      <c r="O308" s="100">
        <v>0</v>
      </c>
      <c r="P308" s="100">
        <v>17124.189653046844</v>
      </c>
      <c r="Q308" s="97" t="s">
        <v>738</v>
      </c>
    </row>
    <row r="309" spans="1:17">
      <c r="A309" s="98">
        <v>308</v>
      </c>
      <c r="B309" s="99" t="s">
        <v>962</v>
      </c>
      <c r="C309" s="99" t="s">
        <v>514</v>
      </c>
      <c r="D309" s="99" t="s">
        <v>515</v>
      </c>
      <c r="E309" s="99" t="s">
        <v>963</v>
      </c>
      <c r="F309" s="99" t="s">
        <v>114</v>
      </c>
      <c r="G309" s="99" t="s">
        <v>322</v>
      </c>
      <c r="H309" s="100">
        <v>0</v>
      </c>
      <c r="I309" s="100">
        <v>9521.6898323210371</v>
      </c>
      <c r="J309" s="100">
        <f t="shared" si="4"/>
        <v>9521.6898323210371</v>
      </c>
      <c r="K309" s="100">
        <v>0</v>
      </c>
      <c r="L309" s="100">
        <v>9620.4696762032818</v>
      </c>
      <c r="M309" s="100">
        <v>0</v>
      </c>
      <c r="N309" s="100">
        <v>6327.2435975780554</v>
      </c>
      <c r="O309" s="100">
        <v>0</v>
      </c>
      <c r="P309" s="100">
        <v>18697.837540627144</v>
      </c>
      <c r="Q309" s="97" t="s">
        <v>738</v>
      </c>
    </row>
    <row r="310" spans="1:17">
      <c r="A310" s="98">
        <v>309</v>
      </c>
      <c r="B310" s="99" t="s">
        <v>964</v>
      </c>
      <c r="C310" s="99" t="s">
        <v>965</v>
      </c>
      <c r="D310" s="99" t="s">
        <v>491</v>
      </c>
      <c r="E310" s="99" t="s">
        <v>966</v>
      </c>
      <c r="F310" s="99" t="s">
        <v>115</v>
      </c>
      <c r="G310" s="99" t="s">
        <v>325</v>
      </c>
      <c r="H310" s="100">
        <v>0</v>
      </c>
      <c r="I310" s="100">
        <v>8915.5037819222416</v>
      </c>
      <c r="J310" s="100">
        <f t="shared" si="4"/>
        <v>8915.5037819222416</v>
      </c>
      <c r="K310" s="100">
        <v>0</v>
      </c>
      <c r="L310" s="100">
        <v>8165.4328564779171</v>
      </c>
      <c r="M310" s="100">
        <v>0</v>
      </c>
      <c r="N310" s="100">
        <v>5605.7341461589367</v>
      </c>
      <c r="O310" s="100">
        <v>0</v>
      </c>
      <c r="P310" s="100">
        <v>17472.871776924669</v>
      </c>
      <c r="Q310" s="97" t="s">
        <v>738</v>
      </c>
    </row>
    <row r="311" spans="1:17">
      <c r="A311" s="98">
        <v>310</v>
      </c>
      <c r="B311" s="99" t="s">
        <v>967</v>
      </c>
      <c r="C311" s="99" t="s">
        <v>330</v>
      </c>
      <c r="D311" s="99" t="s">
        <v>331</v>
      </c>
      <c r="E311" s="99" t="s">
        <v>968</v>
      </c>
      <c r="F311" s="99" t="s">
        <v>116</v>
      </c>
      <c r="G311" s="99" t="s">
        <v>322</v>
      </c>
      <c r="H311" s="100">
        <v>0</v>
      </c>
      <c r="I311" s="100">
        <v>9104.1528732747083</v>
      </c>
      <c r="J311" s="100">
        <f t="shared" si="4"/>
        <v>9104.1528732747083</v>
      </c>
      <c r="K311" s="100">
        <v>0</v>
      </c>
      <c r="L311" s="100">
        <v>8922.6056342095344</v>
      </c>
      <c r="M311" s="100">
        <v>0</v>
      </c>
      <c r="N311" s="100">
        <v>6222.1002361747342</v>
      </c>
      <c r="O311" s="100">
        <v>0</v>
      </c>
      <c r="P311" s="100">
        <v>17588.768143523073</v>
      </c>
      <c r="Q311" s="97" t="s">
        <v>738</v>
      </c>
    </row>
    <row r="312" spans="1:17">
      <c r="A312" s="98">
        <v>311</v>
      </c>
      <c r="B312" s="99" t="s">
        <v>969</v>
      </c>
      <c r="C312" s="99" t="s">
        <v>610</v>
      </c>
      <c r="D312" s="99" t="s">
        <v>611</v>
      </c>
      <c r="E312" s="99" t="s">
        <v>970</v>
      </c>
      <c r="F312" s="99" t="s">
        <v>119</v>
      </c>
      <c r="G312" s="99" t="s">
        <v>322</v>
      </c>
      <c r="H312" s="100">
        <v>0</v>
      </c>
      <c r="I312" s="100">
        <v>9318.6523010298479</v>
      </c>
      <c r="J312" s="100">
        <f t="shared" si="4"/>
        <v>9318.6523010298479</v>
      </c>
      <c r="K312" s="100">
        <v>0</v>
      </c>
      <c r="L312" s="100">
        <v>9052.6587638723431</v>
      </c>
      <c r="M312" s="100">
        <v>0</v>
      </c>
      <c r="N312" s="100">
        <v>6432.5952254059821</v>
      </c>
      <c r="O312" s="100">
        <v>0</v>
      </c>
      <c r="P312" s="100">
        <v>15949.805278442685</v>
      </c>
      <c r="Q312" s="97" t="s">
        <v>738</v>
      </c>
    </row>
    <row r="313" spans="1:17">
      <c r="A313" s="98">
        <v>312</v>
      </c>
      <c r="B313" s="99" t="s">
        <v>971</v>
      </c>
      <c r="C313" s="99" t="s">
        <v>458</v>
      </c>
      <c r="D313" s="99" t="s">
        <v>459</v>
      </c>
      <c r="E313" s="99" t="s">
        <v>972</v>
      </c>
      <c r="F313" s="99" t="s">
        <v>115</v>
      </c>
      <c r="G313" s="99" t="s">
        <v>121</v>
      </c>
      <c r="H313" s="100">
        <v>0</v>
      </c>
      <c r="I313" s="100">
        <v>11666.79768020542</v>
      </c>
      <c r="J313" s="100">
        <f t="shared" si="4"/>
        <v>11666.79768020542</v>
      </c>
      <c r="K313" s="100">
        <v>0</v>
      </c>
      <c r="L313" s="100">
        <v>12566.96789385529</v>
      </c>
      <c r="M313" s="100">
        <v>0</v>
      </c>
      <c r="N313" s="100">
        <v>6977.2880470484142</v>
      </c>
      <c r="O313" s="100">
        <v>0</v>
      </c>
      <c r="P313" s="100">
        <v>22912.423964155427</v>
      </c>
      <c r="Q313" s="97" t="s">
        <v>737</v>
      </c>
    </row>
    <row r="314" spans="1:17">
      <c r="A314" s="98">
        <v>313</v>
      </c>
      <c r="B314" s="99" t="s">
        <v>973</v>
      </c>
      <c r="C314" s="99" t="s">
        <v>652</v>
      </c>
      <c r="D314" s="99" t="s">
        <v>653</v>
      </c>
      <c r="E314" s="99" t="s">
        <v>974</v>
      </c>
      <c r="F314" s="99" t="s">
        <v>115</v>
      </c>
      <c r="G314" s="99" t="s">
        <v>322</v>
      </c>
      <c r="H314" s="100">
        <v>0</v>
      </c>
      <c r="I314" s="100">
        <v>10486.391389697801</v>
      </c>
      <c r="J314" s="100">
        <f t="shared" si="4"/>
        <v>10486.391389697801</v>
      </c>
      <c r="K314" s="100">
        <v>0</v>
      </c>
      <c r="L314" s="100">
        <v>10501.147366106303</v>
      </c>
      <c r="M314" s="100">
        <v>0</v>
      </c>
      <c r="N314" s="100">
        <v>7115.0903763812967</v>
      </c>
      <c r="O314" s="100">
        <v>0</v>
      </c>
      <c r="P314" s="100">
        <v>19879.052157450122</v>
      </c>
      <c r="Q314" s="97" t="s">
        <v>738</v>
      </c>
    </row>
    <row r="315" spans="1:17">
      <c r="A315" s="98">
        <v>314</v>
      </c>
      <c r="B315" s="99" t="s">
        <v>975</v>
      </c>
      <c r="C315" s="99" t="s">
        <v>652</v>
      </c>
      <c r="D315" s="99" t="s">
        <v>653</v>
      </c>
      <c r="E315" s="99" t="s">
        <v>976</v>
      </c>
      <c r="F315" s="99" t="s">
        <v>115</v>
      </c>
      <c r="G315" s="99" t="s">
        <v>322</v>
      </c>
      <c r="H315" s="100">
        <v>0</v>
      </c>
      <c r="I315" s="100">
        <v>10437.313652781471</v>
      </c>
      <c r="J315" s="100">
        <f t="shared" si="4"/>
        <v>10437.313652781471</v>
      </c>
      <c r="K315" s="100">
        <v>0</v>
      </c>
      <c r="L315" s="100">
        <v>10450.989930858108</v>
      </c>
      <c r="M315" s="100">
        <v>0</v>
      </c>
      <c r="N315" s="100">
        <v>7237.9923045560963</v>
      </c>
      <c r="O315" s="100">
        <v>0</v>
      </c>
      <c r="P315" s="100">
        <v>19786.015491577837</v>
      </c>
      <c r="Q315" s="97" t="s">
        <v>738</v>
      </c>
    </row>
    <row r="316" spans="1:17">
      <c r="A316" s="98">
        <v>315</v>
      </c>
      <c r="B316" s="99" t="s">
        <v>977</v>
      </c>
      <c r="C316" s="99" t="s">
        <v>831</v>
      </c>
      <c r="D316" s="99" t="s">
        <v>583</v>
      </c>
      <c r="E316" s="99" t="s">
        <v>978</v>
      </c>
      <c r="F316" s="99" t="s">
        <v>115</v>
      </c>
      <c r="G316" s="99" t="s">
        <v>322</v>
      </c>
      <c r="H316" s="100">
        <v>0</v>
      </c>
      <c r="I316" s="100">
        <v>8988.4885790652788</v>
      </c>
      <c r="J316" s="100">
        <f t="shared" si="4"/>
        <v>8988.4885790652788</v>
      </c>
      <c r="K316" s="100">
        <v>0</v>
      </c>
      <c r="L316" s="100">
        <v>9147.8767136585902</v>
      </c>
      <c r="M316" s="100">
        <v>0</v>
      </c>
      <c r="N316" s="100">
        <v>6506.4903139139724</v>
      </c>
      <c r="O316" s="100">
        <v>0</v>
      </c>
      <c r="P316" s="100">
        <v>17629.392304778103</v>
      </c>
      <c r="Q316" s="97" t="s">
        <v>738</v>
      </c>
    </row>
    <row r="317" spans="1:17">
      <c r="A317" s="98">
        <v>316</v>
      </c>
      <c r="B317" s="99" t="s">
        <v>979</v>
      </c>
      <c r="C317" s="99" t="s">
        <v>374</v>
      </c>
      <c r="D317" s="99" t="s">
        <v>375</v>
      </c>
      <c r="E317" s="99" t="s">
        <v>980</v>
      </c>
      <c r="F317" s="99" t="s">
        <v>114</v>
      </c>
      <c r="G317" s="99" t="s">
        <v>325</v>
      </c>
      <c r="H317" s="100">
        <v>0</v>
      </c>
      <c r="I317" s="100">
        <v>11522.453609947548</v>
      </c>
      <c r="J317" s="100">
        <f t="shared" si="4"/>
        <v>11522.453609947548</v>
      </c>
      <c r="K317" s="100">
        <v>0</v>
      </c>
      <c r="L317" s="100">
        <v>11034.099819059427</v>
      </c>
      <c r="M317" s="100">
        <v>0</v>
      </c>
      <c r="N317" s="100">
        <v>7401.489870046209</v>
      </c>
      <c r="O317" s="100">
        <v>0</v>
      </c>
      <c r="P317" s="100">
        <v>23018.866474736613</v>
      </c>
      <c r="Q317" s="97" t="s">
        <v>737</v>
      </c>
    </row>
    <row r="318" spans="1:17">
      <c r="A318" s="98">
        <v>317</v>
      </c>
      <c r="B318" s="99" t="s">
        <v>981</v>
      </c>
      <c r="C318" s="99" t="s">
        <v>610</v>
      </c>
      <c r="D318" s="99" t="s">
        <v>611</v>
      </c>
      <c r="E318" s="99" t="s">
        <v>982</v>
      </c>
      <c r="F318" s="99" t="s">
        <v>119</v>
      </c>
      <c r="G318" s="99" t="s">
        <v>322</v>
      </c>
      <c r="H318" s="100">
        <v>0</v>
      </c>
      <c r="I318" s="100">
        <v>10975.803363782996</v>
      </c>
      <c r="J318" s="100">
        <f t="shared" si="4"/>
        <v>10975.803363782996</v>
      </c>
      <c r="K318" s="100">
        <v>0</v>
      </c>
      <c r="L318" s="100">
        <v>10614.91857404853</v>
      </c>
      <c r="M318" s="100">
        <v>0</v>
      </c>
      <c r="N318" s="100">
        <v>7197.9491367013616</v>
      </c>
      <c r="O318" s="100">
        <v>0</v>
      </c>
      <c r="P318" s="100">
        <v>18786.185037450978</v>
      </c>
      <c r="Q318" s="97" t="s">
        <v>738</v>
      </c>
    </row>
    <row r="319" spans="1:17">
      <c r="A319" s="98">
        <v>318</v>
      </c>
      <c r="B319" s="99" t="s">
        <v>983</v>
      </c>
      <c r="C319" s="99" t="s">
        <v>580</v>
      </c>
      <c r="D319" s="99" t="s">
        <v>581</v>
      </c>
      <c r="E319" s="99" t="s">
        <v>984</v>
      </c>
      <c r="F319" s="99" t="s">
        <v>115</v>
      </c>
      <c r="G319" s="99" t="s">
        <v>121</v>
      </c>
      <c r="H319" s="100">
        <v>0</v>
      </c>
      <c r="I319" s="100">
        <v>9337.9154608624413</v>
      </c>
      <c r="J319" s="100">
        <f t="shared" si="4"/>
        <v>9337.9154608624413</v>
      </c>
      <c r="K319" s="100">
        <v>0</v>
      </c>
      <c r="L319" s="100">
        <v>9803.3354071001977</v>
      </c>
      <c r="M319" s="100">
        <v>0</v>
      </c>
      <c r="N319" s="100">
        <v>6179.1385938062658</v>
      </c>
      <c r="O319" s="100">
        <v>0</v>
      </c>
      <c r="P319" s="100">
        <v>18151.973864370499</v>
      </c>
      <c r="Q319" s="97" t="s">
        <v>738</v>
      </c>
    </row>
    <row r="320" spans="1:17">
      <c r="A320" s="98">
        <v>319</v>
      </c>
      <c r="B320" s="99" t="s">
        <v>985</v>
      </c>
      <c r="C320" s="99" t="s">
        <v>568</v>
      </c>
      <c r="D320" s="99" t="s">
        <v>569</v>
      </c>
      <c r="E320" s="99" t="s">
        <v>986</v>
      </c>
      <c r="F320" s="99" t="s">
        <v>116</v>
      </c>
      <c r="G320" s="99" t="s">
        <v>322</v>
      </c>
      <c r="H320" s="100">
        <v>0</v>
      </c>
      <c r="I320" s="100">
        <v>10710.713889653951</v>
      </c>
      <c r="J320" s="100">
        <f t="shared" si="4"/>
        <v>10710.713889653951</v>
      </c>
      <c r="K320" s="100">
        <v>0</v>
      </c>
      <c r="L320" s="100">
        <v>10531.194876092562</v>
      </c>
      <c r="M320" s="100">
        <v>0</v>
      </c>
      <c r="N320" s="100">
        <v>7084.2343868921171</v>
      </c>
      <c r="O320" s="100">
        <v>0</v>
      </c>
      <c r="P320" s="100">
        <v>21009.065294556229</v>
      </c>
      <c r="Q320" s="97" t="s">
        <v>738</v>
      </c>
    </row>
    <row r="321" spans="1:17">
      <c r="A321" s="98">
        <v>320</v>
      </c>
      <c r="B321" s="99" t="s">
        <v>987</v>
      </c>
      <c r="C321" s="99" t="s">
        <v>566</v>
      </c>
      <c r="D321" s="99" t="s">
        <v>567</v>
      </c>
      <c r="E321" s="99" t="s">
        <v>988</v>
      </c>
      <c r="F321" s="99" t="s">
        <v>116</v>
      </c>
      <c r="G321" s="99" t="s">
        <v>322</v>
      </c>
      <c r="H321" s="100">
        <v>0</v>
      </c>
      <c r="I321" s="100">
        <v>8216.0615702701089</v>
      </c>
      <c r="J321" s="100">
        <f t="shared" si="4"/>
        <v>8216.0615702701089</v>
      </c>
      <c r="K321" s="100">
        <v>0</v>
      </c>
      <c r="L321" s="100">
        <v>7897.9607966134836</v>
      </c>
      <c r="M321" s="100">
        <v>0</v>
      </c>
      <c r="N321" s="100">
        <v>5008.9812198648851</v>
      </c>
      <c r="O321" s="100">
        <v>0</v>
      </c>
      <c r="P321" s="100">
        <v>15877.538984546984</v>
      </c>
      <c r="Q321" s="97" t="s">
        <v>787</v>
      </c>
    </row>
    <row r="322" spans="1:17">
      <c r="A322" s="98">
        <v>321</v>
      </c>
      <c r="B322" s="99" t="s">
        <v>989</v>
      </c>
      <c r="C322" s="99" t="s">
        <v>494</v>
      </c>
      <c r="D322" s="99" t="s">
        <v>495</v>
      </c>
      <c r="E322" s="99" t="s">
        <v>990</v>
      </c>
      <c r="F322" s="99" t="s">
        <v>115</v>
      </c>
      <c r="G322" s="99" t="s">
        <v>121</v>
      </c>
      <c r="H322" s="100">
        <v>0</v>
      </c>
      <c r="I322" s="100">
        <v>12926.48432210373</v>
      </c>
      <c r="J322" s="100">
        <f t="shared" si="4"/>
        <v>12926.48432210373</v>
      </c>
      <c r="K322" s="100">
        <v>0</v>
      </c>
      <c r="L322" s="100">
        <v>13315.121872873868</v>
      </c>
      <c r="M322" s="100">
        <v>0</v>
      </c>
      <c r="N322" s="100">
        <v>9085.4890613956504</v>
      </c>
      <c r="O322" s="100">
        <v>0</v>
      </c>
      <c r="P322" s="100">
        <v>24972.675061872193</v>
      </c>
      <c r="Q322" s="97" t="s">
        <v>738</v>
      </c>
    </row>
    <row r="323" spans="1:17">
      <c r="A323" s="98">
        <v>322</v>
      </c>
      <c r="B323" s="99" t="s">
        <v>991</v>
      </c>
      <c r="C323" s="99" t="s">
        <v>366</v>
      </c>
      <c r="D323" s="99" t="s">
        <v>367</v>
      </c>
      <c r="E323" s="99" t="s">
        <v>992</v>
      </c>
      <c r="F323" s="99" t="s">
        <v>115</v>
      </c>
      <c r="G323" s="99" t="s">
        <v>322</v>
      </c>
      <c r="H323" s="100">
        <v>0</v>
      </c>
      <c r="I323" s="100">
        <v>10148.224317281061</v>
      </c>
      <c r="J323" s="100">
        <f t="shared" ref="J323:J386" si="5">IF(H323=0,I323,AVERAGE(H323:I323))</f>
        <v>10148.224317281061</v>
      </c>
      <c r="K323" s="100">
        <v>0</v>
      </c>
      <c r="L323" s="100">
        <v>10660.101724087035</v>
      </c>
      <c r="M323" s="100">
        <v>0</v>
      </c>
      <c r="N323" s="100">
        <v>6963.7771895241176</v>
      </c>
      <c r="O323" s="100">
        <v>0</v>
      </c>
      <c r="P323" s="100">
        <v>19863.119456214223</v>
      </c>
      <c r="Q323" s="97" t="s">
        <v>738</v>
      </c>
    </row>
    <row r="324" spans="1:17">
      <c r="A324" s="98">
        <v>323</v>
      </c>
      <c r="B324" s="99" t="s">
        <v>993</v>
      </c>
      <c r="C324" s="99" t="s">
        <v>530</v>
      </c>
      <c r="D324" s="99" t="s">
        <v>531</v>
      </c>
      <c r="E324" s="99" t="s">
        <v>994</v>
      </c>
      <c r="F324" s="99" t="s">
        <v>115</v>
      </c>
      <c r="G324" s="99" t="s">
        <v>322</v>
      </c>
      <c r="H324" s="100">
        <v>0</v>
      </c>
      <c r="I324" s="100">
        <v>9776.6302725509831</v>
      </c>
      <c r="J324" s="100">
        <f t="shared" si="5"/>
        <v>9776.6302725509831</v>
      </c>
      <c r="K324" s="100">
        <v>0</v>
      </c>
      <c r="L324" s="100">
        <v>10484.127606358936</v>
      </c>
      <c r="M324" s="100">
        <v>0</v>
      </c>
      <c r="N324" s="100">
        <v>7546.1800828143078</v>
      </c>
      <c r="O324" s="100">
        <v>0</v>
      </c>
      <c r="P324" s="100">
        <v>19464.293209621752</v>
      </c>
      <c r="Q324" s="97" t="s">
        <v>737</v>
      </c>
    </row>
    <row r="325" spans="1:17">
      <c r="A325" s="98">
        <v>324</v>
      </c>
      <c r="B325" s="99" t="s">
        <v>995</v>
      </c>
      <c r="C325" s="99" t="s">
        <v>831</v>
      </c>
      <c r="D325" s="99" t="s">
        <v>583</v>
      </c>
      <c r="E325" s="99" t="s">
        <v>996</v>
      </c>
      <c r="F325" s="99" t="s">
        <v>115</v>
      </c>
      <c r="G325" s="99" t="s">
        <v>322</v>
      </c>
      <c r="H325" s="100">
        <v>0</v>
      </c>
      <c r="I325" s="100">
        <v>9677.007990262442</v>
      </c>
      <c r="J325" s="100">
        <f t="shared" si="5"/>
        <v>9677.007990262442</v>
      </c>
      <c r="K325" s="100">
        <v>0</v>
      </c>
      <c r="L325" s="100">
        <v>9852.0473597677792</v>
      </c>
      <c r="M325" s="100">
        <v>0</v>
      </c>
      <c r="N325" s="100">
        <v>6936.0778913911608</v>
      </c>
      <c r="O325" s="100">
        <v>0</v>
      </c>
      <c r="P325" s="100">
        <v>18979.806081541436</v>
      </c>
      <c r="Q325" s="97" t="s">
        <v>737</v>
      </c>
    </row>
    <row r="326" spans="1:17">
      <c r="A326" s="98">
        <v>325</v>
      </c>
      <c r="B326" s="99" t="s">
        <v>997</v>
      </c>
      <c r="C326" s="99" t="s">
        <v>610</v>
      </c>
      <c r="D326" s="99" t="s">
        <v>611</v>
      </c>
      <c r="E326" s="99" t="s">
        <v>998</v>
      </c>
      <c r="F326" s="99" t="s">
        <v>119</v>
      </c>
      <c r="G326" s="99" t="s">
        <v>322</v>
      </c>
      <c r="H326" s="100">
        <v>0</v>
      </c>
      <c r="I326" s="100">
        <v>10079.505535656628</v>
      </c>
      <c r="J326" s="100">
        <f t="shared" si="5"/>
        <v>10079.505535656628</v>
      </c>
      <c r="K326" s="100">
        <v>0</v>
      </c>
      <c r="L326" s="100">
        <v>9797.7954103705579</v>
      </c>
      <c r="M326" s="100">
        <v>0</v>
      </c>
      <c r="N326" s="100">
        <v>7019.5111860461475</v>
      </c>
      <c r="O326" s="100">
        <v>0</v>
      </c>
      <c r="P326" s="100">
        <v>17252.081674829882</v>
      </c>
      <c r="Q326" s="97" t="s">
        <v>738</v>
      </c>
    </row>
    <row r="327" spans="1:17">
      <c r="A327" s="98">
        <v>326</v>
      </c>
      <c r="B327" s="99" t="s">
        <v>999</v>
      </c>
      <c r="C327" s="99" t="s">
        <v>384</v>
      </c>
      <c r="D327" s="99" t="s">
        <v>385</v>
      </c>
      <c r="E327" s="99" t="s">
        <v>1000</v>
      </c>
      <c r="F327" s="99" t="s">
        <v>116</v>
      </c>
      <c r="G327" s="99" t="s">
        <v>121</v>
      </c>
      <c r="H327" s="100">
        <v>0</v>
      </c>
      <c r="I327" s="100">
        <v>10925.107259362903</v>
      </c>
      <c r="J327" s="100">
        <f t="shared" si="5"/>
        <v>10925.107259362903</v>
      </c>
      <c r="K327" s="100">
        <v>0</v>
      </c>
      <c r="L327" s="100">
        <v>11430.23192068477</v>
      </c>
      <c r="M327" s="100">
        <v>0</v>
      </c>
      <c r="N327" s="100">
        <v>7833.4793035825633</v>
      </c>
      <c r="O327" s="100">
        <v>0</v>
      </c>
      <c r="P327" s="100">
        <v>20948.893169828367</v>
      </c>
      <c r="Q327" s="97" t="s">
        <v>787</v>
      </c>
    </row>
    <row r="328" spans="1:17">
      <c r="A328" s="98">
        <v>327</v>
      </c>
      <c r="B328" s="99" t="s">
        <v>1001</v>
      </c>
      <c r="C328" s="99" t="s">
        <v>482</v>
      </c>
      <c r="D328" s="99" t="s">
        <v>483</v>
      </c>
      <c r="E328" s="99" t="s">
        <v>1002</v>
      </c>
      <c r="F328" s="99" t="s">
        <v>115</v>
      </c>
      <c r="G328" s="99" t="s">
        <v>322</v>
      </c>
      <c r="H328" s="100">
        <v>0</v>
      </c>
      <c r="I328" s="100">
        <v>10494.113735021923</v>
      </c>
      <c r="J328" s="100">
        <f t="shared" si="5"/>
        <v>10494.113735021923</v>
      </c>
      <c r="K328" s="100">
        <v>0</v>
      </c>
      <c r="L328" s="100">
        <v>9713.5968946511348</v>
      </c>
      <c r="M328" s="100">
        <v>0</v>
      </c>
      <c r="N328" s="100">
        <v>6239.614324188904</v>
      </c>
      <c r="O328" s="100">
        <v>0</v>
      </c>
      <c r="P328" s="100">
        <v>20478.213542521778</v>
      </c>
      <c r="Q328" s="97" t="s">
        <v>738</v>
      </c>
    </row>
    <row r="329" spans="1:17">
      <c r="A329" s="98">
        <v>328</v>
      </c>
      <c r="B329" s="99" t="s">
        <v>1003</v>
      </c>
      <c r="C329" s="99" t="s">
        <v>590</v>
      </c>
      <c r="D329" s="99" t="s">
        <v>591</v>
      </c>
      <c r="E329" s="99" t="s">
        <v>1004</v>
      </c>
      <c r="F329" s="99" t="s">
        <v>117</v>
      </c>
      <c r="G329" s="99" t="s">
        <v>121</v>
      </c>
      <c r="H329" s="100">
        <v>0</v>
      </c>
      <c r="I329" s="100">
        <v>9895.8294990094819</v>
      </c>
      <c r="J329" s="100">
        <f t="shared" si="5"/>
        <v>9895.8294990094819</v>
      </c>
      <c r="K329" s="100">
        <v>0</v>
      </c>
      <c r="L329" s="100">
        <v>9728.7342620685667</v>
      </c>
      <c r="M329" s="100">
        <v>0</v>
      </c>
      <c r="N329" s="100">
        <v>6679.9201839218658</v>
      </c>
      <c r="O329" s="100">
        <v>0</v>
      </c>
      <c r="P329" s="100">
        <v>19238.482129024334</v>
      </c>
      <c r="Q329" s="97" t="s">
        <v>738</v>
      </c>
    </row>
    <row r="330" spans="1:17">
      <c r="A330" s="98">
        <v>329</v>
      </c>
      <c r="B330" s="99" t="s">
        <v>1005</v>
      </c>
      <c r="C330" s="99" t="s">
        <v>580</v>
      </c>
      <c r="D330" s="99" t="s">
        <v>581</v>
      </c>
      <c r="E330" s="99" t="s">
        <v>1006</v>
      </c>
      <c r="F330" s="99" t="s">
        <v>115</v>
      </c>
      <c r="G330" s="99" t="s">
        <v>121</v>
      </c>
      <c r="H330" s="100">
        <v>0</v>
      </c>
      <c r="I330" s="100">
        <v>10430.880370661584</v>
      </c>
      <c r="J330" s="100">
        <f t="shared" si="5"/>
        <v>10430.880370661584</v>
      </c>
      <c r="K330" s="100">
        <v>0</v>
      </c>
      <c r="L330" s="100">
        <v>10876.850143240106</v>
      </c>
      <c r="M330" s="100">
        <v>0</v>
      </c>
      <c r="N330" s="100">
        <v>7371.838504781339</v>
      </c>
      <c r="O330" s="100">
        <v>0</v>
      </c>
      <c r="P330" s="100">
        <v>20276.588352529052</v>
      </c>
      <c r="Q330" s="97" t="s">
        <v>738</v>
      </c>
    </row>
    <row r="331" spans="1:17">
      <c r="A331" s="98">
        <v>330</v>
      </c>
      <c r="B331" s="99" t="s">
        <v>1007</v>
      </c>
      <c r="C331" s="99" t="s">
        <v>634</v>
      </c>
      <c r="D331" s="99" t="s">
        <v>635</v>
      </c>
      <c r="E331" s="99" t="s">
        <v>1008</v>
      </c>
      <c r="F331" s="99" t="s">
        <v>114</v>
      </c>
      <c r="G331" s="99" t="s">
        <v>121</v>
      </c>
      <c r="H331" s="100">
        <v>0</v>
      </c>
      <c r="I331" s="100">
        <v>18525.524588202443</v>
      </c>
      <c r="J331" s="100">
        <f t="shared" si="5"/>
        <v>18525.524588202443</v>
      </c>
      <c r="K331" s="100">
        <v>0</v>
      </c>
      <c r="L331" s="100">
        <v>20437.677804151605</v>
      </c>
      <c r="M331" s="100">
        <v>0</v>
      </c>
      <c r="N331" s="100">
        <v>13603.033789205841</v>
      </c>
      <c r="O331" s="100">
        <v>0</v>
      </c>
      <c r="P331" s="100">
        <v>36402.655815817801</v>
      </c>
      <c r="Q331" s="97" t="s">
        <v>787</v>
      </c>
    </row>
    <row r="332" spans="1:17">
      <c r="A332" s="98">
        <v>331</v>
      </c>
      <c r="B332" s="99" t="s">
        <v>1009</v>
      </c>
      <c r="C332" s="99" t="s">
        <v>366</v>
      </c>
      <c r="D332" s="99" t="s">
        <v>367</v>
      </c>
      <c r="E332" s="99" t="s">
        <v>1010</v>
      </c>
      <c r="F332" s="99" t="s">
        <v>115</v>
      </c>
      <c r="G332" s="99" t="s">
        <v>322</v>
      </c>
      <c r="H332" s="100">
        <v>0</v>
      </c>
      <c r="I332" s="100">
        <v>9932.6767751972166</v>
      </c>
      <c r="J332" s="100">
        <f t="shared" si="5"/>
        <v>9932.6767751972166</v>
      </c>
      <c r="K332" s="100">
        <v>0</v>
      </c>
      <c r="L332" s="100">
        <v>10359.016257384037</v>
      </c>
      <c r="M332" s="100">
        <v>0</v>
      </c>
      <c r="N332" s="100">
        <v>7179.5702938288014</v>
      </c>
      <c r="O332" s="100">
        <v>0</v>
      </c>
      <c r="P332" s="100">
        <v>19441.228252093511</v>
      </c>
      <c r="Q332" s="97" t="s">
        <v>738</v>
      </c>
    </row>
    <row r="333" spans="1:17">
      <c r="A333" s="98">
        <v>332</v>
      </c>
      <c r="B333" s="99" t="s">
        <v>1011</v>
      </c>
      <c r="C333" s="99" t="s">
        <v>1012</v>
      </c>
      <c r="D333" s="99" t="s">
        <v>467</v>
      </c>
      <c r="E333" s="99" t="s">
        <v>1013</v>
      </c>
      <c r="F333" s="99" t="s">
        <v>117</v>
      </c>
      <c r="G333" s="99" t="s">
        <v>325</v>
      </c>
      <c r="H333" s="100">
        <v>0</v>
      </c>
      <c r="I333" s="100">
        <v>8069.1020790087559</v>
      </c>
      <c r="J333" s="100">
        <f t="shared" si="5"/>
        <v>8069.1020790087559</v>
      </c>
      <c r="K333" s="100">
        <v>0</v>
      </c>
      <c r="L333" s="100">
        <v>8004.8241093995639</v>
      </c>
      <c r="M333" s="100">
        <v>0</v>
      </c>
      <c r="N333" s="100">
        <v>6052.1559099243614</v>
      </c>
      <c r="O333" s="100">
        <v>0</v>
      </c>
      <c r="P333" s="100">
        <v>15426.91280975289</v>
      </c>
      <c r="Q333" s="97" t="s">
        <v>738</v>
      </c>
    </row>
    <row r="334" spans="1:17">
      <c r="A334" s="98">
        <v>333</v>
      </c>
      <c r="B334" s="99" t="s">
        <v>1014</v>
      </c>
      <c r="C334" s="99" t="s">
        <v>74</v>
      </c>
      <c r="D334" s="99" t="s">
        <v>75</v>
      </c>
      <c r="E334" s="99" t="s">
        <v>1015</v>
      </c>
      <c r="F334" s="99" t="s">
        <v>115</v>
      </c>
      <c r="G334" s="99" t="s">
        <v>121</v>
      </c>
      <c r="H334" s="100">
        <v>0</v>
      </c>
      <c r="I334" s="100">
        <v>11561.119858883158</v>
      </c>
      <c r="J334" s="100">
        <f t="shared" si="5"/>
        <v>11561.119858883158</v>
      </c>
      <c r="K334" s="100">
        <v>0</v>
      </c>
      <c r="L334" s="100">
        <v>12646.747522273834</v>
      </c>
      <c r="M334" s="100">
        <v>0</v>
      </c>
      <c r="N334" s="100">
        <v>7503.3053985897195</v>
      </c>
      <c r="O334" s="100">
        <v>0</v>
      </c>
      <c r="P334" s="100">
        <v>22317.58577558805</v>
      </c>
      <c r="Q334" s="97" t="s">
        <v>737</v>
      </c>
    </row>
    <row r="335" spans="1:17">
      <c r="A335" s="98">
        <v>334</v>
      </c>
      <c r="B335" s="99" t="s">
        <v>1016</v>
      </c>
      <c r="C335" s="99" t="s">
        <v>386</v>
      </c>
      <c r="D335" s="99" t="s">
        <v>387</v>
      </c>
      <c r="E335" s="99" t="s">
        <v>1017</v>
      </c>
      <c r="F335" s="99" t="s">
        <v>114</v>
      </c>
      <c r="G335" s="99" t="s">
        <v>322</v>
      </c>
      <c r="H335" s="100">
        <v>0</v>
      </c>
      <c r="I335" s="100">
        <v>11024.930185870177</v>
      </c>
      <c r="J335" s="100">
        <f t="shared" si="5"/>
        <v>11024.930185870177</v>
      </c>
      <c r="K335" s="100">
        <v>0</v>
      </c>
      <c r="L335" s="100">
        <v>11489.994192275972</v>
      </c>
      <c r="M335" s="100">
        <v>0</v>
      </c>
      <c r="N335" s="100">
        <v>7200.4166281636135</v>
      </c>
      <c r="O335" s="100">
        <v>0</v>
      </c>
      <c r="P335" s="100">
        <v>21500.818848484018</v>
      </c>
      <c r="Q335" s="97" t="s">
        <v>738</v>
      </c>
    </row>
    <row r="336" spans="1:17">
      <c r="A336" s="98">
        <v>335</v>
      </c>
      <c r="B336" s="99" t="s">
        <v>1018</v>
      </c>
      <c r="C336" s="99" t="s">
        <v>674</v>
      </c>
      <c r="D336" s="99" t="s">
        <v>675</v>
      </c>
      <c r="E336" s="99" t="s">
        <v>1019</v>
      </c>
      <c r="F336" s="99" t="s">
        <v>114</v>
      </c>
      <c r="G336" s="99" t="s">
        <v>325</v>
      </c>
      <c r="H336" s="100">
        <v>0</v>
      </c>
      <c r="I336" s="100">
        <v>13221.249413656828</v>
      </c>
      <c r="J336" s="100">
        <f t="shared" si="5"/>
        <v>13221.249413656828</v>
      </c>
      <c r="K336" s="100">
        <v>0</v>
      </c>
      <c r="L336" s="100">
        <v>13187.251145710867</v>
      </c>
      <c r="M336" s="100">
        <v>0</v>
      </c>
      <c r="N336" s="100">
        <v>8802.3176880031824</v>
      </c>
      <c r="O336" s="100">
        <v>0</v>
      </c>
      <c r="P336" s="100">
        <v>26238.891586343339</v>
      </c>
      <c r="Q336" s="97" t="s">
        <v>738</v>
      </c>
    </row>
    <row r="337" spans="1:17">
      <c r="A337" s="98">
        <v>336</v>
      </c>
      <c r="B337" s="99" t="s">
        <v>1020</v>
      </c>
      <c r="C337" s="99" t="s">
        <v>570</v>
      </c>
      <c r="D337" s="99" t="s">
        <v>571</v>
      </c>
      <c r="E337" s="99" t="s">
        <v>1021</v>
      </c>
      <c r="F337" s="99" t="s">
        <v>114</v>
      </c>
      <c r="G337" s="99" t="s">
        <v>325</v>
      </c>
      <c r="H337" s="100">
        <v>0</v>
      </c>
      <c r="I337" s="100">
        <v>16561.728124167978</v>
      </c>
      <c r="J337" s="100">
        <f t="shared" si="5"/>
        <v>16561.728124167978</v>
      </c>
      <c r="K337" s="100">
        <v>0</v>
      </c>
      <c r="L337" s="100">
        <v>15983.012778986582</v>
      </c>
      <c r="M337" s="100">
        <v>0</v>
      </c>
      <c r="N337" s="100">
        <v>12169.840091573551</v>
      </c>
      <c r="O337" s="100">
        <v>0</v>
      </c>
      <c r="P337" s="100">
        <v>32730.115205386966</v>
      </c>
      <c r="Q337" s="97" t="s">
        <v>738</v>
      </c>
    </row>
    <row r="338" spans="1:17">
      <c r="A338" s="98">
        <v>337</v>
      </c>
      <c r="B338" s="99" t="s">
        <v>1022</v>
      </c>
      <c r="C338" s="99" t="s">
        <v>580</v>
      </c>
      <c r="D338" s="99" t="s">
        <v>581</v>
      </c>
      <c r="E338" s="99" t="s">
        <v>1023</v>
      </c>
      <c r="F338" s="99" t="s">
        <v>115</v>
      </c>
      <c r="G338" s="99" t="s">
        <v>121</v>
      </c>
      <c r="H338" s="100">
        <v>0</v>
      </c>
      <c r="I338" s="100">
        <v>10721.478693599809</v>
      </c>
      <c r="J338" s="100">
        <f t="shared" si="5"/>
        <v>10721.478693599809</v>
      </c>
      <c r="K338" s="100">
        <v>0</v>
      </c>
      <c r="L338" s="100">
        <v>11189.989607490097</v>
      </c>
      <c r="M338" s="100">
        <v>0</v>
      </c>
      <c r="N338" s="100">
        <v>7516.2299543872296</v>
      </c>
      <c r="O338" s="100">
        <v>0</v>
      </c>
      <c r="P338" s="100">
        <v>20841.482432488669</v>
      </c>
      <c r="Q338" s="97" t="s">
        <v>738</v>
      </c>
    </row>
    <row r="339" spans="1:17">
      <c r="A339" s="98">
        <v>338</v>
      </c>
      <c r="B339" s="99" t="s">
        <v>1024</v>
      </c>
      <c r="C339" s="99" t="s">
        <v>362</v>
      </c>
      <c r="D339" s="99" t="s">
        <v>363</v>
      </c>
      <c r="E339" s="99" t="s">
        <v>1025</v>
      </c>
      <c r="F339" s="99" t="s">
        <v>116</v>
      </c>
      <c r="G339" s="99" t="s">
        <v>322</v>
      </c>
      <c r="H339" s="100">
        <v>0</v>
      </c>
      <c r="I339" s="100">
        <v>11400.222725452699</v>
      </c>
      <c r="J339" s="100">
        <f t="shared" si="5"/>
        <v>11400.222725452699</v>
      </c>
      <c r="K339" s="100">
        <v>0</v>
      </c>
      <c r="L339" s="100">
        <v>11916.783513462065</v>
      </c>
      <c r="M339" s="100">
        <v>0</v>
      </c>
      <c r="N339" s="100">
        <v>7794.200135737995</v>
      </c>
      <c r="O339" s="100">
        <v>0</v>
      </c>
      <c r="P339" s="100">
        <v>21748.204893346112</v>
      </c>
      <c r="Q339" s="97" t="s">
        <v>738</v>
      </c>
    </row>
    <row r="340" spans="1:17">
      <c r="A340" s="98">
        <v>339</v>
      </c>
      <c r="B340" s="99" t="s">
        <v>1026</v>
      </c>
      <c r="C340" s="99" t="s">
        <v>440</v>
      </c>
      <c r="D340" s="99" t="s">
        <v>441</v>
      </c>
      <c r="E340" s="99" t="s">
        <v>1027</v>
      </c>
      <c r="F340" s="99" t="s">
        <v>115</v>
      </c>
      <c r="G340" s="99" t="s">
        <v>121</v>
      </c>
      <c r="H340" s="100">
        <v>0</v>
      </c>
      <c r="I340" s="100">
        <v>14303.281266053698</v>
      </c>
      <c r="J340" s="100">
        <f t="shared" si="5"/>
        <v>14303.281266053698</v>
      </c>
      <c r="K340" s="100">
        <v>0</v>
      </c>
      <c r="L340" s="100">
        <v>15593.495352914399</v>
      </c>
      <c r="M340" s="100">
        <v>0</v>
      </c>
      <c r="N340" s="100">
        <v>10658.462255629691</v>
      </c>
      <c r="O340" s="100">
        <v>0</v>
      </c>
      <c r="P340" s="100">
        <v>26828.664670736925</v>
      </c>
      <c r="Q340" s="97" t="s">
        <v>738</v>
      </c>
    </row>
    <row r="341" spans="1:17">
      <c r="A341" s="98">
        <v>340</v>
      </c>
      <c r="B341" s="99" t="s">
        <v>1028</v>
      </c>
      <c r="C341" s="99" t="s">
        <v>668</v>
      </c>
      <c r="D341" s="99" t="s">
        <v>669</v>
      </c>
      <c r="E341" s="99" t="s">
        <v>1029</v>
      </c>
      <c r="F341" s="99" t="s">
        <v>115</v>
      </c>
      <c r="G341" s="99" t="s">
        <v>325</v>
      </c>
      <c r="H341" s="100">
        <v>0</v>
      </c>
      <c r="I341" s="100">
        <v>12006.807526278375</v>
      </c>
      <c r="J341" s="100">
        <f t="shared" si="5"/>
        <v>12006.807526278375</v>
      </c>
      <c r="K341" s="100">
        <v>0</v>
      </c>
      <c r="L341" s="100">
        <v>11616.158847246512</v>
      </c>
      <c r="M341" s="100">
        <v>0</v>
      </c>
      <c r="N341" s="100">
        <v>8220.1426321712916</v>
      </c>
      <c r="O341" s="100">
        <v>0</v>
      </c>
      <c r="P341" s="100">
        <v>23472.468237347384</v>
      </c>
      <c r="Q341" s="97" t="s">
        <v>738</v>
      </c>
    </row>
    <row r="342" spans="1:17">
      <c r="A342" s="98">
        <v>341</v>
      </c>
      <c r="B342" s="99" t="s">
        <v>1030</v>
      </c>
      <c r="C342" s="99" t="s">
        <v>674</v>
      </c>
      <c r="D342" s="99" t="s">
        <v>675</v>
      </c>
      <c r="E342" s="99" t="s">
        <v>1031</v>
      </c>
      <c r="F342" s="99" t="s">
        <v>114</v>
      </c>
      <c r="G342" s="99" t="s">
        <v>325</v>
      </c>
      <c r="H342" s="100">
        <v>0</v>
      </c>
      <c r="I342" s="100">
        <v>10780.858166927006</v>
      </c>
      <c r="J342" s="100">
        <f t="shared" si="5"/>
        <v>10780.858166927006</v>
      </c>
      <c r="K342" s="100">
        <v>0</v>
      </c>
      <c r="L342" s="100">
        <v>10751.490096241059</v>
      </c>
      <c r="M342" s="100">
        <v>0</v>
      </c>
      <c r="N342" s="100">
        <v>6920.898653800934</v>
      </c>
      <c r="O342" s="100">
        <v>0</v>
      </c>
      <c r="P342" s="100">
        <v>21395.691118083334</v>
      </c>
      <c r="Q342" s="97" t="s">
        <v>738</v>
      </c>
    </row>
    <row r="343" spans="1:17">
      <c r="A343" s="98">
        <v>342</v>
      </c>
      <c r="B343" s="99" t="s">
        <v>1032</v>
      </c>
      <c r="C343" s="99" t="s">
        <v>612</v>
      </c>
      <c r="D343" s="99" t="s">
        <v>613</v>
      </c>
      <c r="E343" s="99" t="s">
        <v>1033</v>
      </c>
      <c r="F343" s="99" t="s">
        <v>115</v>
      </c>
      <c r="G343" s="99" t="s">
        <v>121</v>
      </c>
      <c r="H343" s="100">
        <v>0</v>
      </c>
      <c r="I343" s="100">
        <v>15977.175014777764</v>
      </c>
      <c r="J343" s="100">
        <f t="shared" si="5"/>
        <v>15977.175014777764</v>
      </c>
      <c r="K343" s="100">
        <v>0</v>
      </c>
      <c r="L343" s="100">
        <v>17322.527467554912</v>
      </c>
      <c r="M343" s="100">
        <v>0</v>
      </c>
      <c r="N343" s="100">
        <v>11087.93771085162</v>
      </c>
      <c r="O343" s="100">
        <v>0</v>
      </c>
      <c r="P343" s="100">
        <v>29890.099017646244</v>
      </c>
      <c r="Q343" s="97" t="s">
        <v>787</v>
      </c>
    </row>
    <row r="344" spans="1:17">
      <c r="A344" s="98">
        <v>343</v>
      </c>
      <c r="B344" s="99" t="s">
        <v>1034</v>
      </c>
      <c r="C344" s="99" t="s">
        <v>572</v>
      </c>
      <c r="D344" s="99" t="s">
        <v>573</v>
      </c>
      <c r="E344" s="99" t="s">
        <v>1035</v>
      </c>
      <c r="F344" s="99" t="s">
        <v>115</v>
      </c>
      <c r="G344" s="99" t="s">
        <v>121</v>
      </c>
      <c r="H344" s="100">
        <v>0</v>
      </c>
      <c r="I344" s="100">
        <v>11926.477153390408</v>
      </c>
      <c r="J344" s="100">
        <f t="shared" si="5"/>
        <v>11926.477153390408</v>
      </c>
      <c r="K344" s="100">
        <v>0</v>
      </c>
      <c r="L344" s="100">
        <v>12696.708971840761</v>
      </c>
      <c r="M344" s="100">
        <v>0</v>
      </c>
      <c r="N344" s="100">
        <v>8679.3915899815747</v>
      </c>
      <c r="O344" s="100">
        <v>0</v>
      </c>
      <c r="P344" s="100">
        <v>23508.279117047827</v>
      </c>
      <c r="Q344" s="97" t="s">
        <v>738</v>
      </c>
    </row>
    <row r="345" spans="1:17">
      <c r="A345" s="98">
        <v>344</v>
      </c>
      <c r="B345" s="99" t="s">
        <v>1036</v>
      </c>
      <c r="C345" s="99" t="s">
        <v>388</v>
      </c>
      <c r="D345" s="99" t="s">
        <v>389</v>
      </c>
      <c r="E345" s="99" t="s">
        <v>1037</v>
      </c>
      <c r="F345" s="99" t="s">
        <v>116</v>
      </c>
      <c r="G345" s="99" t="s">
        <v>322</v>
      </c>
      <c r="H345" s="100">
        <v>0</v>
      </c>
      <c r="I345" s="100">
        <v>7475.2245113519157</v>
      </c>
      <c r="J345" s="100">
        <f t="shared" si="5"/>
        <v>7475.2245113519157</v>
      </c>
      <c r="K345" s="100">
        <v>0</v>
      </c>
      <c r="L345" s="100">
        <v>7705.8520312316841</v>
      </c>
      <c r="M345" s="100">
        <v>0</v>
      </c>
      <c r="N345" s="100">
        <v>5369.7217589143092</v>
      </c>
      <c r="O345" s="100">
        <v>0</v>
      </c>
      <c r="P345" s="100">
        <v>14161.812836756204</v>
      </c>
      <c r="Q345" s="97" t="s">
        <v>738</v>
      </c>
    </row>
    <row r="346" spans="1:17">
      <c r="A346" s="98">
        <v>345</v>
      </c>
      <c r="B346" s="99" t="s">
        <v>1038</v>
      </c>
      <c r="C346" s="99" t="s">
        <v>362</v>
      </c>
      <c r="D346" s="99" t="s">
        <v>363</v>
      </c>
      <c r="E346" s="99" t="s">
        <v>1039</v>
      </c>
      <c r="F346" s="99" t="s">
        <v>116</v>
      </c>
      <c r="G346" s="99" t="s">
        <v>322</v>
      </c>
      <c r="H346" s="100">
        <v>0</v>
      </c>
      <c r="I346" s="100">
        <v>9100.1997707980518</v>
      </c>
      <c r="J346" s="100">
        <f t="shared" si="5"/>
        <v>9100.1997707980518</v>
      </c>
      <c r="K346" s="100">
        <v>0</v>
      </c>
      <c r="L346" s="100">
        <v>9429.3695988335367</v>
      </c>
      <c r="M346" s="100">
        <v>0</v>
      </c>
      <c r="N346" s="100">
        <v>6615.6163649255259</v>
      </c>
      <c r="O346" s="100">
        <v>0</v>
      </c>
      <c r="P346" s="100">
        <v>17360.451102751442</v>
      </c>
      <c r="Q346" s="97" t="s">
        <v>738</v>
      </c>
    </row>
    <row r="347" spans="1:17">
      <c r="A347" s="98">
        <v>346</v>
      </c>
      <c r="B347" s="99" t="s">
        <v>1040</v>
      </c>
      <c r="C347" s="99" t="s">
        <v>74</v>
      </c>
      <c r="D347" s="99" t="s">
        <v>75</v>
      </c>
      <c r="E347" s="99" t="s">
        <v>1041</v>
      </c>
      <c r="F347" s="99" t="s">
        <v>115</v>
      </c>
      <c r="G347" s="99" t="s">
        <v>121</v>
      </c>
      <c r="H347" s="100">
        <v>0</v>
      </c>
      <c r="I347" s="100">
        <v>13198.651564047506</v>
      </c>
      <c r="J347" s="100">
        <f t="shared" si="5"/>
        <v>13198.651564047506</v>
      </c>
      <c r="K347" s="100">
        <v>0</v>
      </c>
      <c r="L347" s="100">
        <v>14284.279227438183</v>
      </c>
      <c r="M347" s="100">
        <v>0</v>
      </c>
      <c r="N347" s="100">
        <v>9143.1922168920173</v>
      </c>
      <c r="O347" s="100">
        <v>0</v>
      </c>
      <c r="P347" s="100">
        <v>25478.676979237309</v>
      </c>
      <c r="Q347" s="97" t="s">
        <v>787</v>
      </c>
    </row>
    <row r="348" spans="1:17">
      <c r="A348" s="98">
        <v>347</v>
      </c>
      <c r="B348" s="99" t="s">
        <v>1042</v>
      </c>
      <c r="C348" s="99" t="s">
        <v>594</v>
      </c>
      <c r="D348" s="99" t="s">
        <v>595</v>
      </c>
      <c r="E348" s="99" t="s">
        <v>1043</v>
      </c>
      <c r="F348" s="99" t="s">
        <v>115</v>
      </c>
      <c r="G348" s="99" t="s">
        <v>322</v>
      </c>
      <c r="H348" s="100">
        <v>0</v>
      </c>
      <c r="I348" s="100">
        <v>10769.549853627774</v>
      </c>
      <c r="J348" s="100">
        <f t="shared" si="5"/>
        <v>10769.549853627774</v>
      </c>
      <c r="K348" s="100">
        <v>0</v>
      </c>
      <c r="L348" s="100">
        <v>11414.782188265461</v>
      </c>
      <c r="M348" s="100">
        <v>0</v>
      </c>
      <c r="N348" s="100">
        <v>8207.7550307984802</v>
      </c>
      <c r="O348" s="100">
        <v>0</v>
      </c>
      <c r="P348" s="100">
        <v>20603.871997966515</v>
      </c>
      <c r="Q348" s="97" t="s">
        <v>738</v>
      </c>
    </row>
    <row r="349" spans="1:17">
      <c r="A349" s="98">
        <v>348</v>
      </c>
      <c r="B349" s="99" t="s">
        <v>1044</v>
      </c>
      <c r="C349" s="99" t="s">
        <v>362</v>
      </c>
      <c r="D349" s="99" t="s">
        <v>363</v>
      </c>
      <c r="E349" s="99" t="s">
        <v>1045</v>
      </c>
      <c r="F349" s="99" t="s">
        <v>116</v>
      </c>
      <c r="G349" s="99" t="s">
        <v>322</v>
      </c>
      <c r="H349" s="100">
        <v>0</v>
      </c>
      <c r="I349" s="100">
        <v>9385.2230797137181</v>
      </c>
      <c r="J349" s="100">
        <f t="shared" si="5"/>
        <v>9385.2230797137181</v>
      </c>
      <c r="K349" s="100">
        <v>0</v>
      </c>
      <c r="L349" s="100">
        <v>9717.2489851433093</v>
      </c>
      <c r="M349" s="100">
        <v>0</v>
      </c>
      <c r="N349" s="100">
        <v>6878.0707299227797</v>
      </c>
      <c r="O349" s="100">
        <v>0</v>
      </c>
      <c r="P349" s="100">
        <v>17904.190069169857</v>
      </c>
      <c r="Q349" s="97" t="s">
        <v>738</v>
      </c>
    </row>
    <row r="350" spans="1:17">
      <c r="A350" s="98">
        <v>349</v>
      </c>
      <c r="B350" s="99" t="s">
        <v>1046</v>
      </c>
      <c r="C350" s="99" t="s">
        <v>440</v>
      </c>
      <c r="D350" s="99" t="s">
        <v>441</v>
      </c>
      <c r="E350" s="99" t="s">
        <v>1047</v>
      </c>
      <c r="F350" s="99" t="s">
        <v>115</v>
      </c>
      <c r="G350" s="99" t="s">
        <v>121</v>
      </c>
      <c r="H350" s="100">
        <v>0</v>
      </c>
      <c r="I350" s="100">
        <v>14117.207351286659</v>
      </c>
      <c r="J350" s="100">
        <f t="shared" si="5"/>
        <v>14117.207351286659</v>
      </c>
      <c r="K350" s="100">
        <v>0</v>
      </c>
      <c r="L350" s="100">
        <v>15792.733420364799</v>
      </c>
      <c r="M350" s="100">
        <v>0</v>
      </c>
      <c r="N350" s="100">
        <v>9414.9869834978672</v>
      </c>
      <c r="O350" s="100">
        <v>0</v>
      </c>
      <c r="P350" s="100">
        <v>26479.645828808385</v>
      </c>
      <c r="Q350" s="97" t="s">
        <v>737</v>
      </c>
    </row>
    <row r="351" spans="1:17">
      <c r="A351" s="98">
        <v>350</v>
      </c>
      <c r="B351" s="99" t="s">
        <v>1048</v>
      </c>
      <c r="C351" s="99" t="s">
        <v>474</v>
      </c>
      <c r="D351" s="99" t="s">
        <v>475</v>
      </c>
      <c r="E351" s="99" t="s">
        <v>1049</v>
      </c>
      <c r="F351" s="99" t="s">
        <v>115</v>
      </c>
      <c r="G351" s="99" t="s">
        <v>121</v>
      </c>
      <c r="H351" s="100">
        <v>0</v>
      </c>
      <c r="I351" s="100">
        <v>14860.041029076338</v>
      </c>
      <c r="J351" s="100">
        <f t="shared" si="5"/>
        <v>14860.041029076338</v>
      </c>
      <c r="K351" s="100">
        <v>0</v>
      </c>
      <c r="L351" s="100">
        <v>16440.210993950743</v>
      </c>
      <c r="M351" s="100">
        <v>0</v>
      </c>
      <c r="N351" s="100">
        <v>10126.399063415722</v>
      </c>
      <c r="O351" s="100">
        <v>0</v>
      </c>
      <c r="P351" s="100">
        <v>28520.876747106216</v>
      </c>
      <c r="Q351" s="97" t="s">
        <v>737</v>
      </c>
    </row>
    <row r="352" spans="1:17">
      <c r="A352" s="98">
        <v>351</v>
      </c>
      <c r="B352" s="99" t="s">
        <v>1050</v>
      </c>
      <c r="C352" s="99" t="s">
        <v>526</v>
      </c>
      <c r="D352" s="99" t="s">
        <v>527</v>
      </c>
      <c r="E352" s="99" t="s">
        <v>1051</v>
      </c>
      <c r="F352" s="99" t="s">
        <v>116</v>
      </c>
      <c r="G352" s="99" t="s">
        <v>322</v>
      </c>
      <c r="H352" s="100">
        <v>0</v>
      </c>
      <c r="I352" s="100">
        <v>7603.6722809880266</v>
      </c>
      <c r="J352" s="100">
        <f t="shared" si="5"/>
        <v>7603.6722809880266</v>
      </c>
      <c r="K352" s="100">
        <v>0</v>
      </c>
      <c r="L352" s="100">
        <v>7589.2086198016805</v>
      </c>
      <c r="M352" s="100">
        <v>0</v>
      </c>
      <c r="N352" s="100">
        <v>4813.1668957540523</v>
      </c>
      <c r="O352" s="100">
        <v>0</v>
      </c>
      <c r="P352" s="100">
        <v>14959.464845615845</v>
      </c>
      <c r="Q352" s="97" t="s">
        <v>787</v>
      </c>
    </row>
    <row r="353" spans="1:17">
      <c r="A353" s="98">
        <v>352</v>
      </c>
      <c r="B353" s="99" t="s">
        <v>1052</v>
      </c>
      <c r="C353" s="99" t="s">
        <v>404</v>
      </c>
      <c r="D353" s="99" t="s">
        <v>405</v>
      </c>
      <c r="E353" s="99" t="s">
        <v>1053</v>
      </c>
      <c r="F353" s="99" t="s">
        <v>115</v>
      </c>
      <c r="G353" s="99" t="s">
        <v>121</v>
      </c>
      <c r="H353" s="100">
        <v>0</v>
      </c>
      <c r="I353" s="100">
        <v>12329.782272608307</v>
      </c>
      <c r="J353" s="100">
        <f t="shared" si="5"/>
        <v>12329.782272608307</v>
      </c>
      <c r="K353" s="100">
        <v>0</v>
      </c>
      <c r="L353" s="100">
        <v>12847.699990247955</v>
      </c>
      <c r="M353" s="100">
        <v>0</v>
      </c>
      <c r="N353" s="100">
        <v>8243.551670872559</v>
      </c>
      <c r="O353" s="100">
        <v>0</v>
      </c>
      <c r="P353" s="100">
        <v>24385.843378764708</v>
      </c>
      <c r="Q353" s="97" t="s">
        <v>738</v>
      </c>
    </row>
    <row r="354" spans="1:17">
      <c r="A354" s="98">
        <v>353</v>
      </c>
      <c r="B354" s="99" t="s">
        <v>1054</v>
      </c>
      <c r="C354" s="99" t="s">
        <v>666</v>
      </c>
      <c r="D354" s="99" t="s">
        <v>667</v>
      </c>
      <c r="E354" s="99" t="s">
        <v>1055</v>
      </c>
      <c r="F354" s="99" t="s">
        <v>116</v>
      </c>
      <c r="G354" s="99" t="s">
        <v>121</v>
      </c>
      <c r="H354" s="100">
        <v>0</v>
      </c>
      <c r="I354" s="100">
        <v>15504.79672575551</v>
      </c>
      <c r="J354" s="100">
        <f t="shared" si="5"/>
        <v>15504.79672575551</v>
      </c>
      <c r="K354" s="100">
        <v>0</v>
      </c>
      <c r="L354" s="100">
        <v>15646.388337583927</v>
      </c>
      <c r="M354" s="100">
        <v>0</v>
      </c>
      <c r="N354" s="100">
        <v>10257.959505385606</v>
      </c>
      <c r="O354" s="100">
        <v>0</v>
      </c>
      <c r="P354" s="100">
        <v>29789.365949194063</v>
      </c>
      <c r="Q354" s="97" t="s">
        <v>738</v>
      </c>
    </row>
    <row r="355" spans="1:17">
      <c r="A355" s="98">
        <v>354</v>
      </c>
      <c r="B355" s="99" t="s">
        <v>1056</v>
      </c>
      <c r="C355" s="99" t="s">
        <v>434</v>
      </c>
      <c r="D355" s="99" t="s">
        <v>435</v>
      </c>
      <c r="E355" s="99" t="s">
        <v>1057</v>
      </c>
      <c r="F355" s="99" t="s">
        <v>115</v>
      </c>
      <c r="G355" s="99" t="s">
        <v>322</v>
      </c>
      <c r="H355" s="100">
        <v>0</v>
      </c>
      <c r="I355" s="100">
        <v>11796.999889665523</v>
      </c>
      <c r="J355" s="100">
        <f t="shared" si="5"/>
        <v>11796.999889665523</v>
      </c>
      <c r="K355" s="100">
        <v>0</v>
      </c>
      <c r="L355" s="100">
        <v>11779.272417864559</v>
      </c>
      <c r="M355" s="100">
        <v>0</v>
      </c>
      <c r="N355" s="100">
        <v>8162.0197261466019</v>
      </c>
      <c r="O355" s="100">
        <v>0</v>
      </c>
      <c r="P355" s="100">
        <v>22215.75628222142</v>
      </c>
      <c r="Q355" s="97" t="s">
        <v>738</v>
      </c>
    </row>
    <row r="356" spans="1:17">
      <c r="A356" s="98">
        <v>355</v>
      </c>
      <c r="B356" s="99" t="s">
        <v>1058</v>
      </c>
      <c r="C356" s="99" t="s">
        <v>422</v>
      </c>
      <c r="D356" s="99" t="s">
        <v>423</v>
      </c>
      <c r="E356" s="99" t="s">
        <v>1059</v>
      </c>
      <c r="F356" s="99" t="s">
        <v>115</v>
      </c>
      <c r="G356" s="99" t="s">
        <v>121</v>
      </c>
      <c r="H356" s="100">
        <v>0</v>
      </c>
      <c r="I356" s="100">
        <v>14749.807800195662</v>
      </c>
      <c r="J356" s="100">
        <f t="shared" si="5"/>
        <v>14749.807800195662</v>
      </c>
      <c r="K356" s="100">
        <v>0</v>
      </c>
      <c r="L356" s="100">
        <v>15388.562698706382</v>
      </c>
      <c r="M356" s="100">
        <v>0</v>
      </c>
      <c r="N356" s="100">
        <v>10527.359356034305</v>
      </c>
      <c r="O356" s="100">
        <v>0</v>
      </c>
      <c r="P356" s="100">
        <v>28678.051305920428</v>
      </c>
      <c r="Q356" s="97" t="s">
        <v>738</v>
      </c>
    </row>
    <row r="357" spans="1:17">
      <c r="A357" s="98">
        <v>356</v>
      </c>
      <c r="B357" s="99" t="s">
        <v>1060</v>
      </c>
      <c r="C357" s="99" t="s">
        <v>384</v>
      </c>
      <c r="D357" s="99" t="s">
        <v>385</v>
      </c>
      <c r="E357" s="99" t="s">
        <v>1061</v>
      </c>
      <c r="F357" s="99" t="s">
        <v>116</v>
      </c>
      <c r="G357" s="99" t="s">
        <v>121</v>
      </c>
      <c r="H357" s="100">
        <v>0</v>
      </c>
      <c r="I357" s="100">
        <v>10925.107259362903</v>
      </c>
      <c r="J357" s="100">
        <f t="shared" si="5"/>
        <v>10925.107259362903</v>
      </c>
      <c r="K357" s="100">
        <v>0</v>
      </c>
      <c r="L357" s="100">
        <v>11430.23192068477</v>
      </c>
      <c r="M357" s="100">
        <v>0</v>
      </c>
      <c r="N357" s="100">
        <v>7833.4793035825633</v>
      </c>
      <c r="O357" s="100">
        <v>0</v>
      </c>
      <c r="P357" s="100">
        <v>20948.893169828367</v>
      </c>
      <c r="Q357" s="97" t="s">
        <v>787</v>
      </c>
    </row>
    <row r="358" spans="1:17">
      <c r="A358" s="98">
        <v>357</v>
      </c>
      <c r="B358" s="99" t="s">
        <v>1062</v>
      </c>
      <c r="C358" s="99" t="s">
        <v>502</v>
      </c>
      <c r="D358" s="99" t="s">
        <v>503</v>
      </c>
      <c r="E358" s="99" t="s">
        <v>1063</v>
      </c>
      <c r="F358" s="99" t="s">
        <v>115</v>
      </c>
      <c r="G358" s="99" t="s">
        <v>121</v>
      </c>
      <c r="H358" s="100">
        <v>0</v>
      </c>
      <c r="I358" s="100">
        <v>12491.758956455797</v>
      </c>
      <c r="J358" s="100">
        <f t="shared" si="5"/>
        <v>12491.758956455797</v>
      </c>
      <c r="K358" s="100">
        <v>0</v>
      </c>
      <c r="L358" s="100">
        <v>12947.818898683494</v>
      </c>
      <c r="M358" s="100">
        <v>0</v>
      </c>
      <c r="N358" s="100">
        <v>8646.5337690490596</v>
      </c>
      <c r="O358" s="100">
        <v>0</v>
      </c>
      <c r="P358" s="100">
        <v>24239.009079106825</v>
      </c>
      <c r="Q358" s="97" t="s">
        <v>738</v>
      </c>
    </row>
    <row r="359" spans="1:17">
      <c r="A359" s="98">
        <v>358</v>
      </c>
      <c r="B359" s="99" t="s">
        <v>1064</v>
      </c>
      <c r="C359" s="99" t="s">
        <v>532</v>
      </c>
      <c r="D359" s="99" t="s">
        <v>533</v>
      </c>
      <c r="E359" s="99" t="s">
        <v>1065</v>
      </c>
      <c r="F359" s="99" t="s">
        <v>114</v>
      </c>
      <c r="G359" s="99" t="s">
        <v>325</v>
      </c>
      <c r="H359" s="100">
        <v>0</v>
      </c>
      <c r="I359" s="100">
        <v>9570.2539582280733</v>
      </c>
      <c r="J359" s="100">
        <f t="shared" si="5"/>
        <v>9570.2539582280733</v>
      </c>
      <c r="K359" s="100">
        <v>0</v>
      </c>
      <c r="L359" s="100">
        <v>8677.6702209293016</v>
      </c>
      <c r="M359" s="100">
        <v>0</v>
      </c>
      <c r="N359" s="100">
        <v>5193.2665308524129</v>
      </c>
      <c r="O359" s="100">
        <v>0</v>
      </c>
      <c r="P359" s="100">
        <v>18546.195145650181</v>
      </c>
      <c r="Q359" s="97" t="s">
        <v>737</v>
      </c>
    </row>
    <row r="360" spans="1:17">
      <c r="A360" s="98">
        <v>359</v>
      </c>
      <c r="B360" s="99" t="s">
        <v>1066</v>
      </c>
      <c r="C360" s="99" t="s">
        <v>1067</v>
      </c>
      <c r="D360" s="99" t="s">
        <v>603</v>
      </c>
      <c r="E360" s="99" t="s">
        <v>1068</v>
      </c>
      <c r="F360" s="99" t="s">
        <v>115</v>
      </c>
      <c r="G360" s="99" t="s">
        <v>121</v>
      </c>
      <c r="H360" s="100">
        <v>0</v>
      </c>
      <c r="I360" s="100">
        <v>14020.843010503422</v>
      </c>
      <c r="J360" s="100">
        <f t="shared" si="5"/>
        <v>14020.843010503422</v>
      </c>
      <c r="K360" s="100">
        <v>0</v>
      </c>
      <c r="L360" s="100">
        <v>14859.284196522913</v>
      </c>
      <c r="M360" s="100">
        <v>0</v>
      </c>
      <c r="N360" s="100">
        <v>9511.2458564422031</v>
      </c>
      <c r="O360" s="100">
        <v>0</v>
      </c>
      <c r="P360" s="100">
        <v>27180.806260161935</v>
      </c>
      <c r="Q360" s="97" t="s">
        <v>787</v>
      </c>
    </row>
    <row r="361" spans="1:17">
      <c r="A361" s="98">
        <v>360</v>
      </c>
      <c r="B361" s="99" t="s">
        <v>1069</v>
      </c>
      <c r="C361" s="99" t="s">
        <v>534</v>
      </c>
      <c r="D361" s="99" t="s">
        <v>535</v>
      </c>
      <c r="E361" s="99" t="s">
        <v>1070</v>
      </c>
      <c r="F361" s="99" t="s">
        <v>115</v>
      </c>
      <c r="G361" s="99" t="s">
        <v>322</v>
      </c>
      <c r="H361" s="100">
        <v>0</v>
      </c>
      <c r="I361" s="100">
        <v>11167.725616986967</v>
      </c>
      <c r="J361" s="100">
        <f t="shared" si="5"/>
        <v>11167.725616986967</v>
      </c>
      <c r="K361" s="100">
        <v>0</v>
      </c>
      <c r="L361" s="100">
        <v>11458.581517942948</v>
      </c>
      <c r="M361" s="100">
        <v>0</v>
      </c>
      <c r="N361" s="100">
        <v>8226.0114825850105</v>
      </c>
      <c r="O361" s="100">
        <v>0</v>
      </c>
      <c r="P361" s="100">
        <v>20632.149722871083</v>
      </c>
      <c r="Q361" s="97" t="s">
        <v>738</v>
      </c>
    </row>
    <row r="362" spans="1:17">
      <c r="A362" s="98">
        <v>361</v>
      </c>
      <c r="B362" s="99" t="s">
        <v>1071</v>
      </c>
      <c r="C362" s="99" t="s">
        <v>662</v>
      </c>
      <c r="D362" s="99" t="s">
        <v>663</v>
      </c>
      <c r="E362" s="99" t="s">
        <v>1072</v>
      </c>
      <c r="F362" s="99" t="s">
        <v>115</v>
      </c>
      <c r="G362" s="99" t="s">
        <v>121</v>
      </c>
      <c r="H362" s="100">
        <v>0</v>
      </c>
      <c r="I362" s="100">
        <v>21417.631891415775</v>
      </c>
      <c r="J362" s="100">
        <f t="shared" si="5"/>
        <v>21417.631891415775</v>
      </c>
      <c r="K362" s="100">
        <v>0</v>
      </c>
      <c r="L362" s="100">
        <v>21895.851615429488</v>
      </c>
      <c r="M362" s="100">
        <v>0</v>
      </c>
      <c r="N362" s="100">
        <v>16493.427998222895</v>
      </c>
      <c r="O362" s="100">
        <v>0</v>
      </c>
      <c r="P362" s="100">
        <v>42036.38611328174</v>
      </c>
      <c r="Q362" s="97" t="s">
        <v>737</v>
      </c>
    </row>
    <row r="363" spans="1:17">
      <c r="A363" s="98">
        <v>362</v>
      </c>
      <c r="B363" s="99" t="s">
        <v>1073</v>
      </c>
      <c r="C363" s="99" t="s">
        <v>526</v>
      </c>
      <c r="D363" s="99" t="s">
        <v>527</v>
      </c>
      <c r="E363" s="99" t="s">
        <v>1074</v>
      </c>
      <c r="F363" s="99" t="s">
        <v>116</v>
      </c>
      <c r="G363" s="99" t="s">
        <v>322</v>
      </c>
      <c r="H363" s="100">
        <v>0</v>
      </c>
      <c r="I363" s="100">
        <v>11949.489735408808</v>
      </c>
      <c r="J363" s="100">
        <f t="shared" si="5"/>
        <v>11949.489735408808</v>
      </c>
      <c r="K363" s="100">
        <v>0</v>
      </c>
      <c r="L363" s="100">
        <v>11929.452562922375</v>
      </c>
      <c r="M363" s="100">
        <v>0</v>
      </c>
      <c r="N363" s="100">
        <v>8038.7085788571112</v>
      </c>
      <c r="O363" s="100">
        <v>0</v>
      </c>
      <c r="P363" s="100">
        <v>23509.426105443294</v>
      </c>
      <c r="Q363" s="97" t="s">
        <v>738</v>
      </c>
    </row>
    <row r="364" spans="1:17">
      <c r="A364" s="98">
        <v>363</v>
      </c>
      <c r="B364" s="99" t="s">
        <v>1075</v>
      </c>
      <c r="C364" s="99" t="s">
        <v>610</v>
      </c>
      <c r="D364" s="99" t="s">
        <v>611</v>
      </c>
      <c r="E364" s="99" t="s">
        <v>1076</v>
      </c>
      <c r="F364" s="99" t="s">
        <v>119</v>
      </c>
      <c r="G364" s="99" t="s">
        <v>322</v>
      </c>
      <c r="H364" s="100">
        <v>0</v>
      </c>
      <c r="I364" s="100">
        <v>14516.231401808893</v>
      </c>
      <c r="J364" s="100">
        <f t="shared" si="5"/>
        <v>14516.231401808893</v>
      </c>
      <c r="K364" s="100">
        <v>0</v>
      </c>
      <c r="L364" s="100">
        <v>14178.336438804941</v>
      </c>
      <c r="M364" s="100">
        <v>0</v>
      </c>
      <c r="N364" s="100">
        <v>10924.852508386106</v>
      </c>
      <c r="O364" s="100">
        <v>0</v>
      </c>
      <c r="P364" s="100">
        <v>24845.981667336098</v>
      </c>
      <c r="Q364" s="97" t="s">
        <v>738</v>
      </c>
    </row>
    <row r="365" spans="1:17">
      <c r="A365" s="98">
        <v>364</v>
      </c>
      <c r="B365" s="99" t="s">
        <v>1077</v>
      </c>
      <c r="C365" s="99" t="s">
        <v>612</v>
      </c>
      <c r="D365" s="99" t="s">
        <v>613</v>
      </c>
      <c r="E365" s="99" t="s">
        <v>1078</v>
      </c>
      <c r="F365" s="99" t="s">
        <v>115</v>
      </c>
      <c r="G365" s="99" t="s">
        <v>121</v>
      </c>
      <c r="H365" s="100">
        <v>0</v>
      </c>
      <c r="I365" s="100">
        <v>15008.0627370688</v>
      </c>
      <c r="J365" s="100">
        <f t="shared" si="5"/>
        <v>15008.0627370688</v>
      </c>
      <c r="K365" s="100">
        <v>0</v>
      </c>
      <c r="L365" s="100">
        <v>16353.415189845948</v>
      </c>
      <c r="M365" s="100">
        <v>0</v>
      </c>
      <c r="N365" s="100">
        <v>10118.825433142654</v>
      </c>
      <c r="O365" s="100">
        <v>0</v>
      </c>
      <c r="P365" s="100">
        <v>28077.083768508313</v>
      </c>
      <c r="Q365" s="97" t="s">
        <v>737</v>
      </c>
    </row>
    <row r="366" spans="1:17">
      <c r="A366" s="98">
        <v>365</v>
      </c>
      <c r="B366" s="99" t="s">
        <v>1079</v>
      </c>
      <c r="C366" s="99" t="s">
        <v>652</v>
      </c>
      <c r="D366" s="99" t="s">
        <v>653</v>
      </c>
      <c r="E366" s="99" t="s">
        <v>1080</v>
      </c>
      <c r="F366" s="99" t="s">
        <v>115</v>
      </c>
      <c r="G366" s="99" t="s">
        <v>322</v>
      </c>
      <c r="H366" s="100">
        <v>0</v>
      </c>
      <c r="I366" s="100">
        <v>11563.874276843972</v>
      </c>
      <c r="J366" s="100">
        <f t="shared" si="5"/>
        <v>11563.874276843972</v>
      </c>
      <c r="K366" s="100">
        <v>0</v>
      </c>
      <c r="L366" s="100">
        <v>11578.074651077804</v>
      </c>
      <c r="M366" s="100">
        <v>0</v>
      </c>
      <c r="N366" s="100">
        <v>8201.7561900712553</v>
      </c>
      <c r="O366" s="100">
        <v>0</v>
      </c>
      <c r="P366" s="100">
        <v>21921.636466613116</v>
      </c>
      <c r="Q366" s="97" t="s">
        <v>738</v>
      </c>
    </row>
    <row r="367" spans="1:17">
      <c r="A367" s="98">
        <v>366</v>
      </c>
      <c r="B367" s="99" t="s">
        <v>1081</v>
      </c>
      <c r="C367" s="99" t="s">
        <v>634</v>
      </c>
      <c r="D367" s="99" t="s">
        <v>635</v>
      </c>
      <c r="E367" s="99" t="s">
        <v>1082</v>
      </c>
      <c r="F367" s="99" t="s">
        <v>114</v>
      </c>
      <c r="G367" s="99" t="s">
        <v>121</v>
      </c>
      <c r="H367" s="100">
        <v>0</v>
      </c>
      <c r="I367" s="100">
        <v>18525.524588202443</v>
      </c>
      <c r="J367" s="100">
        <f t="shared" si="5"/>
        <v>18525.524588202443</v>
      </c>
      <c r="K367" s="100">
        <v>0</v>
      </c>
      <c r="L367" s="100">
        <v>20437.677804151605</v>
      </c>
      <c r="M367" s="100">
        <v>0</v>
      </c>
      <c r="N367" s="100">
        <v>13603.033789205841</v>
      </c>
      <c r="O367" s="100">
        <v>0</v>
      </c>
      <c r="P367" s="100">
        <v>36402.655815817801</v>
      </c>
      <c r="Q367" s="97" t="s">
        <v>787</v>
      </c>
    </row>
    <row r="368" spans="1:17">
      <c r="A368" s="98">
        <v>367</v>
      </c>
      <c r="B368" s="99" t="s">
        <v>1083</v>
      </c>
      <c r="C368" s="99" t="s">
        <v>572</v>
      </c>
      <c r="D368" s="99" t="s">
        <v>573</v>
      </c>
      <c r="E368" s="99" t="s">
        <v>1084</v>
      </c>
      <c r="F368" s="99" t="s">
        <v>115</v>
      </c>
      <c r="G368" s="99" t="s">
        <v>121</v>
      </c>
      <c r="H368" s="100">
        <v>0</v>
      </c>
      <c r="I368" s="100">
        <v>11333.669354967142</v>
      </c>
      <c r="J368" s="100">
        <f t="shared" si="5"/>
        <v>11333.669354967142</v>
      </c>
      <c r="K368" s="100">
        <v>0</v>
      </c>
      <c r="L368" s="100">
        <v>12053.482724361458</v>
      </c>
      <c r="M368" s="100">
        <v>0</v>
      </c>
      <c r="N368" s="100">
        <v>8357.2722762365847</v>
      </c>
      <c r="O368" s="100">
        <v>0</v>
      </c>
      <c r="P368" s="100">
        <v>22339.795665575733</v>
      </c>
      <c r="Q368" s="97" t="s">
        <v>738</v>
      </c>
    </row>
    <row r="369" spans="1:17">
      <c r="A369" s="98">
        <v>368</v>
      </c>
      <c r="B369" s="99" t="s">
        <v>1085</v>
      </c>
      <c r="C369" s="99" t="s">
        <v>612</v>
      </c>
      <c r="D369" s="99" t="s">
        <v>613</v>
      </c>
      <c r="E369" s="99" t="s">
        <v>1086</v>
      </c>
      <c r="F369" s="99" t="s">
        <v>115</v>
      </c>
      <c r="G369" s="99" t="s">
        <v>121</v>
      </c>
      <c r="H369" s="100">
        <v>0</v>
      </c>
      <c r="I369" s="100">
        <v>15977.175014777764</v>
      </c>
      <c r="J369" s="100">
        <f t="shared" si="5"/>
        <v>15977.175014777764</v>
      </c>
      <c r="K369" s="100">
        <v>0</v>
      </c>
      <c r="L369" s="100">
        <v>17322.527467554912</v>
      </c>
      <c r="M369" s="100">
        <v>0</v>
      </c>
      <c r="N369" s="100">
        <v>11087.93771085162</v>
      </c>
      <c r="O369" s="100">
        <v>0</v>
      </c>
      <c r="P369" s="100">
        <v>29890.099017646244</v>
      </c>
      <c r="Q369" s="97" t="s">
        <v>787</v>
      </c>
    </row>
    <row r="370" spans="1:17">
      <c r="A370" s="98">
        <v>369</v>
      </c>
      <c r="B370" s="99" t="s">
        <v>1087</v>
      </c>
      <c r="C370" s="99" t="s">
        <v>640</v>
      </c>
      <c r="D370" s="99" t="s">
        <v>641</v>
      </c>
      <c r="E370" s="99" t="s">
        <v>1088</v>
      </c>
      <c r="F370" s="99" t="s">
        <v>114</v>
      </c>
      <c r="G370" s="99" t="s">
        <v>322</v>
      </c>
      <c r="H370" s="100">
        <v>0</v>
      </c>
      <c r="I370" s="100">
        <v>14466.289959040723</v>
      </c>
      <c r="J370" s="100">
        <f t="shared" si="5"/>
        <v>14466.289959040723</v>
      </c>
      <c r="K370" s="100">
        <v>0</v>
      </c>
      <c r="L370" s="100">
        <v>15427.650886525646</v>
      </c>
      <c r="M370" s="100">
        <v>0</v>
      </c>
      <c r="N370" s="100">
        <v>10572.009504414338</v>
      </c>
      <c r="O370" s="100">
        <v>0</v>
      </c>
      <c r="P370" s="100">
        <v>28796.596792466466</v>
      </c>
      <c r="Q370" s="97" t="s">
        <v>738</v>
      </c>
    </row>
    <row r="371" spans="1:17">
      <c r="A371" s="98">
        <v>370</v>
      </c>
      <c r="B371" s="99" t="s">
        <v>1089</v>
      </c>
      <c r="C371" s="99" t="s">
        <v>458</v>
      </c>
      <c r="D371" s="99" t="s">
        <v>459</v>
      </c>
      <c r="E371" s="99" t="s">
        <v>1090</v>
      </c>
      <c r="F371" s="99" t="s">
        <v>115</v>
      </c>
      <c r="G371" s="99" t="s">
        <v>121</v>
      </c>
      <c r="H371" s="100">
        <v>0</v>
      </c>
      <c r="I371" s="100">
        <v>13296.9108120412</v>
      </c>
      <c r="J371" s="100">
        <f t="shared" si="5"/>
        <v>13296.9108120412</v>
      </c>
      <c r="K371" s="100">
        <v>0</v>
      </c>
      <c r="L371" s="100">
        <v>14071.961244163027</v>
      </c>
      <c r="M371" s="100">
        <v>0</v>
      </c>
      <c r="N371" s="100">
        <v>9363.4339777094192</v>
      </c>
      <c r="O371" s="100">
        <v>0</v>
      </c>
      <c r="P371" s="100">
        <v>26113.803143767709</v>
      </c>
      <c r="Q371" s="97" t="s">
        <v>738</v>
      </c>
    </row>
    <row r="372" spans="1:17">
      <c r="A372" s="98">
        <v>371</v>
      </c>
      <c r="B372" s="99" t="s">
        <v>1091</v>
      </c>
      <c r="C372" s="99" t="s">
        <v>422</v>
      </c>
      <c r="D372" s="99" t="s">
        <v>423</v>
      </c>
      <c r="E372" s="99" t="s">
        <v>1092</v>
      </c>
      <c r="F372" s="99" t="s">
        <v>115</v>
      </c>
      <c r="G372" s="99" t="s">
        <v>121</v>
      </c>
      <c r="H372" s="100">
        <v>0</v>
      </c>
      <c r="I372" s="100">
        <v>15001.178592783292</v>
      </c>
      <c r="J372" s="100">
        <f t="shared" si="5"/>
        <v>15001.178592783292</v>
      </c>
      <c r="K372" s="100">
        <v>0</v>
      </c>
      <c r="L372" s="100">
        <v>15622.673509795213</v>
      </c>
      <c r="M372" s="100">
        <v>0</v>
      </c>
      <c r="N372" s="100">
        <v>10904.114642319859</v>
      </c>
      <c r="O372" s="100">
        <v>0</v>
      </c>
      <c r="P372" s="100">
        <v>29166.791537948557</v>
      </c>
      <c r="Q372" s="97" t="s">
        <v>738</v>
      </c>
    </row>
    <row r="373" spans="1:17">
      <c r="A373" s="98">
        <v>372</v>
      </c>
      <c r="B373" s="99" t="s">
        <v>1093</v>
      </c>
      <c r="C373" s="99" t="s">
        <v>404</v>
      </c>
      <c r="D373" s="99" t="s">
        <v>405</v>
      </c>
      <c r="E373" s="99" t="s">
        <v>1094</v>
      </c>
      <c r="F373" s="99" t="s">
        <v>115</v>
      </c>
      <c r="G373" s="99" t="s">
        <v>121</v>
      </c>
      <c r="H373" s="100">
        <v>0</v>
      </c>
      <c r="I373" s="100">
        <v>13032.620141419775</v>
      </c>
      <c r="J373" s="100">
        <f t="shared" si="5"/>
        <v>13032.620141419775</v>
      </c>
      <c r="K373" s="100">
        <v>0</v>
      </c>
      <c r="L373" s="100">
        <v>13545.595449192657</v>
      </c>
      <c r="M373" s="100">
        <v>0</v>
      </c>
      <c r="N373" s="100">
        <v>8965.5460924418749</v>
      </c>
      <c r="O373" s="100">
        <v>0</v>
      </c>
      <c r="P373" s="100">
        <v>25775.916115700031</v>
      </c>
      <c r="Q373" s="97" t="s">
        <v>738</v>
      </c>
    </row>
    <row r="374" spans="1:17">
      <c r="A374" s="98">
        <v>373</v>
      </c>
      <c r="B374" s="99" t="s">
        <v>1095</v>
      </c>
      <c r="C374" s="99" t="s">
        <v>462</v>
      </c>
      <c r="D374" s="99" t="s">
        <v>463</v>
      </c>
      <c r="E374" s="99" t="s">
        <v>1096</v>
      </c>
      <c r="F374" s="99" t="s">
        <v>118</v>
      </c>
      <c r="G374" s="99" t="s">
        <v>325</v>
      </c>
      <c r="H374" s="100">
        <v>0</v>
      </c>
      <c r="I374" s="100">
        <v>11628.295177998152</v>
      </c>
      <c r="J374" s="100">
        <f t="shared" si="5"/>
        <v>11628.295177998152</v>
      </c>
      <c r="K374" s="100">
        <v>0</v>
      </c>
      <c r="L374" s="100">
        <v>11553.422835907053</v>
      </c>
      <c r="M374" s="100">
        <v>0</v>
      </c>
      <c r="N374" s="100">
        <v>9885.0429886354905</v>
      </c>
      <c r="O374" s="100">
        <v>0</v>
      </c>
      <c r="P374" s="100">
        <v>22695.873962513233</v>
      </c>
      <c r="Q374" s="97" t="s">
        <v>738</v>
      </c>
    </row>
    <row r="375" spans="1:17">
      <c r="A375" s="98">
        <v>374</v>
      </c>
      <c r="B375" s="99" t="s">
        <v>1097</v>
      </c>
      <c r="C375" s="99" t="s">
        <v>594</v>
      </c>
      <c r="D375" s="99" t="s">
        <v>595</v>
      </c>
      <c r="E375" s="99" t="s">
        <v>1098</v>
      </c>
      <c r="F375" s="99" t="s">
        <v>115</v>
      </c>
      <c r="G375" s="99" t="s">
        <v>322</v>
      </c>
      <c r="H375" s="100">
        <v>0</v>
      </c>
      <c r="I375" s="100">
        <v>13118.654660435233</v>
      </c>
      <c r="J375" s="100">
        <f t="shared" si="5"/>
        <v>13118.654660435233</v>
      </c>
      <c r="K375" s="100">
        <v>0</v>
      </c>
      <c r="L375" s="100">
        <v>13839.702930028232</v>
      </c>
      <c r="M375" s="100">
        <v>0</v>
      </c>
      <c r="N375" s="100">
        <v>10361.138381016013</v>
      </c>
      <c r="O375" s="100">
        <v>0</v>
      </c>
      <c r="P375" s="100">
        <v>25098.085350158271</v>
      </c>
      <c r="Q375" s="97" t="s">
        <v>738</v>
      </c>
    </row>
    <row r="376" spans="1:17">
      <c r="A376" s="98">
        <v>375</v>
      </c>
      <c r="B376" s="99" t="s">
        <v>1099</v>
      </c>
      <c r="C376" s="99" t="s">
        <v>74</v>
      </c>
      <c r="D376" s="99" t="s">
        <v>75</v>
      </c>
      <c r="E376" s="99" t="s">
        <v>1100</v>
      </c>
      <c r="F376" s="99" t="s">
        <v>115</v>
      </c>
      <c r="G376" s="99" t="s">
        <v>121</v>
      </c>
      <c r="H376" s="100">
        <v>0</v>
      </c>
      <c r="I376" s="100">
        <v>11993.203963409409</v>
      </c>
      <c r="J376" s="100">
        <f t="shared" si="5"/>
        <v>11993.203963409409</v>
      </c>
      <c r="K376" s="100">
        <v>0</v>
      </c>
      <c r="L376" s="100">
        <v>12823.708734713611</v>
      </c>
      <c r="M376" s="100">
        <v>0</v>
      </c>
      <c r="N376" s="100">
        <v>8817.684292378528</v>
      </c>
      <c r="O376" s="100">
        <v>0</v>
      </c>
      <c r="P376" s="100">
        <v>23151.680930965525</v>
      </c>
      <c r="Q376" s="97" t="s">
        <v>738</v>
      </c>
    </row>
    <row r="377" spans="1:17">
      <c r="A377" s="98">
        <v>376</v>
      </c>
      <c r="B377" s="99" t="s">
        <v>1101</v>
      </c>
      <c r="C377" s="99" t="s">
        <v>710</v>
      </c>
      <c r="D377" s="99" t="s">
        <v>711</v>
      </c>
      <c r="E377" s="99" t="s">
        <v>1102</v>
      </c>
      <c r="F377" s="99" t="s">
        <v>117</v>
      </c>
      <c r="G377" s="99" t="s">
        <v>121</v>
      </c>
      <c r="H377" s="100">
        <v>0</v>
      </c>
      <c r="I377" s="100">
        <v>12797.891283735191</v>
      </c>
      <c r="J377" s="100">
        <f t="shared" si="5"/>
        <v>12797.891283735191</v>
      </c>
      <c r="K377" s="100">
        <v>0</v>
      </c>
      <c r="L377" s="100">
        <v>12208.350150338341</v>
      </c>
      <c r="M377" s="100">
        <v>0</v>
      </c>
      <c r="N377" s="100">
        <v>9411.9246867058991</v>
      </c>
      <c r="O377" s="100">
        <v>0</v>
      </c>
      <c r="P377" s="100">
        <v>25399.846851916394</v>
      </c>
      <c r="Q377" s="97" t="s">
        <v>738</v>
      </c>
    </row>
    <row r="378" spans="1:17">
      <c r="A378" s="98">
        <v>377</v>
      </c>
      <c r="B378" s="99" t="s">
        <v>1103</v>
      </c>
      <c r="C378" s="99" t="s">
        <v>74</v>
      </c>
      <c r="D378" s="99" t="s">
        <v>75</v>
      </c>
      <c r="E378" s="99" t="s">
        <v>1104</v>
      </c>
      <c r="F378" s="99" t="s">
        <v>115</v>
      </c>
      <c r="G378" s="99" t="s">
        <v>121</v>
      </c>
      <c r="H378" s="100">
        <v>0</v>
      </c>
      <c r="I378" s="100">
        <v>12520.57896131833</v>
      </c>
      <c r="J378" s="100">
        <f t="shared" si="5"/>
        <v>12520.57896131833</v>
      </c>
      <c r="K378" s="100">
        <v>0</v>
      </c>
      <c r="L378" s="100">
        <v>13418.444537329966</v>
      </c>
      <c r="M378" s="100">
        <v>0</v>
      </c>
      <c r="N378" s="100">
        <v>9220.9220098016231</v>
      </c>
      <c r="O378" s="100">
        <v>0</v>
      </c>
      <c r="P378" s="100">
        <v>24169.725626928903</v>
      </c>
      <c r="Q378" s="97" t="s">
        <v>738</v>
      </c>
    </row>
    <row r="379" spans="1:17">
      <c r="A379" s="98">
        <v>378</v>
      </c>
      <c r="B379" s="99" t="s">
        <v>1105</v>
      </c>
      <c r="C379" s="99" t="s">
        <v>384</v>
      </c>
      <c r="D379" s="99" t="s">
        <v>385</v>
      </c>
      <c r="E379" s="99" t="s">
        <v>1106</v>
      </c>
      <c r="F379" s="99" t="s">
        <v>116</v>
      </c>
      <c r="G379" s="99" t="s">
        <v>121</v>
      </c>
      <c r="H379" s="100">
        <v>0</v>
      </c>
      <c r="I379" s="100">
        <v>11844.491404870758</v>
      </c>
      <c r="J379" s="100">
        <f t="shared" si="5"/>
        <v>11844.491404870758</v>
      </c>
      <c r="K379" s="100">
        <v>0</v>
      </c>
      <c r="L379" s="100">
        <v>12469.83381157531</v>
      </c>
      <c r="M379" s="100">
        <v>0</v>
      </c>
      <c r="N379" s="100">
        <v>8144.4825218241613</v>
      </c>
      <c r="O379" s="100">
        <v>0</v>
      </c>
      <c r="P379" s="100">
        <v>22711.81226883968</v>
      </c>
      <c r="Q379" s="97" t="s">
        <v>738</v>
      </c>
    </row>
    <row r="380" spans="1:17">
      <c r="A380" s="98">
        <v>379</v>
      </c>
      <c r="B380" s="99" t="s">
        <v>1107</v>
      </c>
      <c r="C380" s="99" t="s">
        <v>572</v>
      </c>
      <c r="D380" s="99" t="s">
        <v>573</v>
      </c>
      <c r="E380" s="99" t="s">
        <v>1108</v>
      </c>
      <c r="F380" s="99" t="s">
        <v>115</v>
      </c>
      <c r="G380" s="99" t="s">
        <v>121</v>
      </c>
      <c r="H380" s="100">
        <v>0</v>
      </c>
      <c r="I380" s="100">
        <v>12039.346992257355</v>
      </c>
      <c r="J380" s="100">
        <f t="shared" si="5"/>
        <v>12039.346992257355</v>
      </c>
      <c r="K380" s="100">
        <v>0</v>
      </c>
      <c r="L380" s="100">
        <v>12660.672197891288</v>
      </c>
      <c r="M380" s="100">
        <v>0</v>
      </c>
      <c r="N380" s="100">
        <v>9373.0032758851921</v>
      </c>
      <c r="O380" s="100">
        <v>0</v>
      </c>
      <c r="P380" s="100">
        <v>23730.756856438471</v>
      </c>
      <c r="Q380" s="97" t="s">
        <v>738</v>
      </c>
    </row>
    <row r="381" spans="1:17">
      <c r="A381" s="98">
        <v>380</v>
      </c>
      <c r="B381" s="99" t="s">
        <v>1109</v>
      </c>
      <c r="C381" s="99" t="s">
        <v>652</v>
      </c>
      <c r="D381" s="99" t="s">
        <v>653</v>
      </c>
      <c r="E381" s="99" t="s">
        <v>1110</v>
      </c>
      <c r="F381" s="99" t="s">
        <v>115</v>
      </c>
      <c r="G381" s="99" t="s">
        <v>322</v>
      </c>
      <c r="H381" s="100">
        <v>0</v>
      </c>
      <c r="I381" s="100">
        <v>12602.61124181334</v>
      </c>
      <c r="J381" s="100">
        <f t="shared" si="5"/>
        <v>12602.61124181334</v>
      </c>
      <c r="K381" s="100">
        <v>0</v>
      </c>
      <c r="L381" s="100">
        <v>12616.57304635539</v>
      </c>
      <c r="M381" s="100">
        <v>0</v>
      </c>
      <c r="N381" s="100">
        <v>9331.3824420962865</v>
      </c>
      <c r="O381" s="100">
        <v>0</v>
      </c>
      <c r="P381" s="100">
        <v>23890.77013110555</v>
      </c>
      <c r="Q381" s="97" t="s">
        <v>738</v>
      </c>
    </row>
    <row r="382" spans="1:17">
      <c r="A382" s="98">
        <v>381</v>
      </c>
      <c r="B382" s="99" t="s">
        <v>1111</v>
      </c>
      <c r="C382" s="99" t="s">
        <v>652</v>
      </c>
      <c r="D382" s="99" t="s">
        <v>653</v>
      </c>
      <c r="E382" s="99" t="s">
        <v>1112</v>
      </c>
      <c r="F382" s="99" t="s">
        <v>115</v>
      </c>
      <c r="G382" s="99" t="s">
        <v>322</v>
      </c>
      <c r="H382" s="100">
        <v>0</v>
      </c>
      <c r="I382" s="100">
        <v>14257.4544760838</v>
      </c>
      <c r="J382" s="100">
        <f t="shared" si="5"/>
        <v>14257.4544760838</v>
      </c>
      <c r="K382" s="100">
        <v>0</v>
      </c>
      <c r="L382" s="100">
        <v>14273.644008221527</v>
      </c>
      <c r="M382" s="100">
        <v>0</v>
      </c>
      <c r="N382" s="100">
        <v>10613.097346499468</v>
      </c>
      <c r="O382" s="100">
        <v>0</v>
      </c>
      <c r="P382" s="100">
        <v>27027.856450312058</v>
      </c>
      <c r="Q382" s="97" t="s">
        <v>738</v>
      </c>
    </row>
    <row r="383" spans="1:17">
      <c r="A383" s="98">
        <v>382</v>
      </c>
      <c r="B383" s="99" t="s">
        <v>1113</v>
      </c>
      <c r="C383" s="99" t="s">
        <v>652</v>
      </c>
      <c r="D383" s="99" t="s">
        <v>653</v>
      </c>
      <c r="E383" s="99" t="s">
        <v>1114</v>
      </c>
      <c r="F383" s="99" t="s">
        <v>115</v>
      </c>
      <c r="G383" s="99" t="s">
        <v>322</v>
      </c>
      <c r="H383" s="100">
        <v>0</v>
      </c>
      <c r="I383" s="100">
        <v>12594.861360491112</v>
      </c>
      <c r="J383" s="100">
        <f t="shared" si="5"/>
        <v>12594.861360491112</v>
      </c>
      <c r="K383" s="100">
        <v>0</v>
      </c>
      <c r="L383" s="100">
        <v>12609.219601190016</v>
      </c>
      <c r="M383" s="100">
        <v>0</v>
      </c>
      <c r="N383" s="100">
        <v>9193.4345239162085</v>
      </c>
      <c r="O383" s="100">
        <v>0</v>
      </c>
      <c r="P383" s="100">
        <v>23876.078681083</v>
      </c>
      <c r="Q383" s="97" t="s">
        <v>738</v>
      </c>
    </row>
    <row r="384" spans="1:17">
      <c r="A384" s="98">
        <v>383</v>
      </c>
      <c r="B384" s="99" t="s">
        <v>1115</v>
      </c>
      <c r="C384" s="99" t="s">
        <v>574</v>
      </c>
      <c r="D384" s="99" t="s">
        <v>575</v>
      </c>
      <c r="E384" s="99" t="s">
        <v>1116</v>
      </c>
      <c r="F384" s="99" t="s">
        <v>115</v>
      </c>
      <c r="G384" s="99" t="s">
        <v>121</v>
      </c>
      <c r="H384" s="100">
        <v>0</v>
      </c>
      <c r="I384" s="100">
        <v>14592.917976732188</v>
      </c>
      <c r="J384" s="100">
        <f t="shared" si="5"/>
        <v>14592.917976732188</v>
      </c>
      <c r="K384" s="100">
        <v>0</v>
      </c>
      <c r="L384" s="100">
        <v>15909.992604577916</v>
      </c>
      <c r="M384" s="100">
        <v>0</v>
      </c>
      <c r="N384" s="100">
        <v>10183.791442102423</v>
      </c>
      <c r="O384" s="100">
        <v>0</v>
      </c>
      <c r="P384" s="100">
        <v>28308.80158306277</v>
      </c>
      <c r="Q384" s="97" t="s">
        <v>787</v>
      </c>
    </row>
    <row r="385" spans="1:17">
      <c r="A385" s="98">
        <v>384</v>
      </c>
      <c r="B385" s="99" t="s">
        <v>1117</v>
      </c>
      <c r="C385" s="99" t="s">
        <v>534</v>
      </c>
      <c r="D385" s="99" t="s">
        <v>535</v>
      </c>
      <c r="E385" s="99" t="s">
        <v>1118</v>
      </c>
      <c r="F385" s="99" t="s">
        <v>115</v>
      </c>
      <c r="G385" s="99" t="s">
        <v>322</v>
      </c>
      <c r="H385" s="100">
        <v>0</v>
      </c>
      <c r="I385" s="100">
        <v>7811.8901488742667</v>
      </c>
      <c r="J385" s="100">
        <f t="shared" si="5"/>
        <v>7811.8901488742667</v>
      </c>
      <c r="K385" s="100">
        <v>0</v>
      </c>
      <c r="L385" s="100">
        <v>8088.1035820935285</v>
      </c>
      <c r="M385" s="100">
        <v>0</v>
      </c>
      <c r="N385" s="100">
        <v>5026.4572946350208</v>
      </c>
      <c r="O385" s="100">
        <v>0</v>
      </c>
      <c r="P385" s="100">
        <v>14432.310812242231</v>
      </c>
      <c r="Q385" s="97" t="s">
        <v>787</v>
      </c>
    </row>
    <row r="386" spans="1:17">
      <c r="A386" s="98">
        <v>385</v>
      </c>
      <c r="B386" s="99" t="s">
        <v>1119</v>
      </c>
      <c r="C386" s="99" t="s">
        <v>574</v>
      </c>
      <c r="D386" s="99" t="s">
        <v>575</v>
      </c>
      <c r="E386" s="99" t="s">
        <v>1120</v>
      </c>
      <c r="F386" s="99" t="s">
        <v>115</v>
      </c>
      <c r="G386" s="99" t="s">
        <v>121</v>
      </c>
      <c r="H386" s="100">
        <v>0</v>
      </c>
      <c r="I386" s="100">
        <v>15238.132323010253</v>
      </c>
      <c r="J386" s="100">
        <f t="shared" si="5"/>
        <v>15238.132323010253</v>
      </c>
      <c r="K386" s="100">
        <v>0</v>
      </c>
      <c r="L386" s="100">
        <v>16555.206950855983</v>
      </c>
      <c r="M386" s="100">
        <v>0</v>
      </c>
      <c r="N386" s="100">
        <v>10829.005788380491</v>
      </c>
      <c r="O386" s="100">
        <v>0</v>
      </c>
      <c r="P386" s="100">
        <v>29560.45289340759</v>
      </c>
      <c r="Q386" s="97" t="s">
        <v>737</v>
      </c>
    </row>
    <row r="387" spans="1:17">
      <c r="A387" s="98">
        <v>386</v>
      </c>
      <c r="B387" s="99" t="s">
        <v>1121</v>
      </c>
      <c r="C387" s="99" t="s">
        <v>386</v>
      </c>
      <c r="D387" s="99" t="s">
        <v>387</v>
      </c>
      <c r="E387" s="99" t="s">
        <v>1122</v>
      </c>
      <c r="F387" s="99" t="s">
        <v>114</v>
      </c>
      <c r="G387" s="99" t="s">
        <v>322</v>
      </c>
      <c r="H387" s="100">
        <v>0</v>
      </c>
      <c r="I387" s="100">
        <v>19193.461081944868</v>
      </c>
      <c r="J387" s="100">
        <f t="shared" ref="J387:J450" si="6">IF(H387=0,I387,AVERAGE(H387:I387))</f>
        <v>19193.461081944868</v>
      </c>
      <c r="K387" s="100">
        <v>0</v>
      </c>
      <c r="L387" s="100">
        <v>20146.438540727955</v>
      </c>
      <c r="M387" s="100">
        <v>0</v>
      </c>
      <c r="N387" s="100">
        <v>11507.098376571308</v>
      </c>
      <c r="O387" s="100">
        <v>0</v>
      </c>
      <c r="P387" s="100">
        <v>37431.087802008886</v>
      </c>
      <c r="Q387" s="97" t="s">
        <v>738</v>
      </c>
    </row>
    <row r="388" spans="1:17">
      <c r="A388" s="98">
        <v>387</v>
      </c>
      <c r="B388" s="99" t="s">
        <v>1123</v>
      </c>
      <c r="C388" s="99" t="s">
        <v>386</v>
      </c>
      <c r="D388" s="99" t="s">
        <v>387</v>
      </c>
      <c r="E388" s="99" t="s">
        <v>1124</v>
      </c>
      <c r="F388" s="99" t="s">
        <v>114</v>
      </c>
      <c r="G388" s="99" t="s">
        <v>322</v>
      </c>
      <c r="H388" s="100">
        <v>0</v>
      </c>
      <c r="I388" s="100">
        <v>14696.434923420864</v>
      </c>
      <c r="J388" s="100">
        <f t="shared" si="6"/>
        <v>14696.434923420864</v>
      </c>
      <c r="K388" s="100">
        <v>0</v>
      </c>
      <c r="L388" s="100">
        <v>15286.195187182111</v>
      </c>
      <c r="M388" s="100">
        <v>0</v>
      </c>
      <c r="N388" s="100">
        <v>10163.041704533303</v>
      </c>
      <c r="O388" s="100">
        <v>0</v>
      </c>
      <c r="P388" s="100">
        <v>28660.987387655372</v>
      </c>
      <c r="Q388" s="97" t="s">
        <v>738</v>
      </c>
    </row>
    <row r="389" spans="1:17">
      <c r="A389" s="98">
        <v>388</v>
      </c>
      <c r="B389" s="99" t="s">
        <v>1125</v>
      </c>
      <c r="C389" s="99" t="s">
        <v>574</v>
      </c>
      <c r="D389" s="99" t="s">
        <v>575</v>
      </c>
      <c r="E389" s="99" t="s">
        <v>1126</v>
      </c>
      <c r="F389" s="99" t="s">
        <v>115</v>
      </c>
      <c r="G389" s="99" t="s">
        <v>121</v>
      </c>
      <c r="H389" s="100">
        <v>0</v>
      </c>
      <c r="I389" s="100">
        <v>15232.454839634825</v>
      </c>
      <c r="J389" s="100">
        <f t="shared" si="6"/>
        <v>15232.454839634825</v>
      </c>
      <c r="K389" s="100">
        <v>0</v>
      </c>
      <c r="L389" s="100">
        <v>16549.529467480555</v>
      </c>
      <c r="M389" s="100">
        <v>0</v>
      </c>
      <c r="N389" s="100">
        <v>10823.328305005063</v>
      </c>
      <c r="O389" s="100">
        <v>0</v>
      </c>
      <c r="P389" s="100">
        <v>29549.439143407599</v>
      </c>
      <c r="Q389" s="97" t="s">
        <v>737</v>
      </c>
    </row>
    <row r="390" spans="1:17">
      <c r="A390" s="98">
        <v>389</v>
      </c>
      <c r="B390" s="99" t="s">
        <v>1127</v>
      </c>
      <c r="C390" s="99" t="s">
        <v>1067</v>
      </c>
      <c r="D390" s="99" t="s">
        <v>603</v>
      </c>
      <c r="E390" s="99" t="s">
        <v>1128</v>
      </c>
      <c r="F390" s="99" t="s">
        <v>115</v>
      </c>
      <c r="G390" s="99" t="s">
        <v>121</v>
      </c>
      <c r="H390" s="100">
        <v>0</v>
      </c>
      <c r="I390" s="100">
        <v>15170.26428116661</v>
      </c>
      <c r="J390" s="100">
        <f t="shared" si="6"/>
        <v>15170.26428116661</v>
      </c>
      <c r="K390" s="100">
        <v>0</v>
      </c>
      <c r="L390" s="100">
        <v>15955.856535114608</v>
      </c>
      <c r="M390" s="100">
        <v>0</v>
      </c>
      <c r="N390" s="100">
        <v>11008.851269530131</v>
      </c>
      <c r="O390" s="100">
        <v>0</v>
      </c>
      <c r="P390" s="100">
        <v>29409.074335469595</v>
      </c>
      <c r="Q390" s="97" t="s">
        <v>738</v>
      </c>
    </row>
    <row r="391" spans="1:17">
      <c r="A391" s="98">
        <v>390</v>
      </c>
      <c r="B391" s="99" t="s">
        <v>1129</v>
      </c>
      <c r="C391" s="99" t="s">
        <v>474</v>
      </c>
      <c r="D391" s="99" t="s">
        <v>475</v>
      </c>
      <c r="E391" s="99" t="s">
        <v>1130</v>
      </c>
      <c r="F391" s="99" t="s">
        <v>115</v>
      </c>
      <c r="G391" s="99" t="s">
        <v>121</v>
      </c>
      <c r="H391" s="100">
        <v>0</v>
      </c>
      <c r="I391" s="100">
        <v>17881.831729637062</v>
      </c>
      <c r="J391" s="100">
        <f t="shared" si="6"/>
        <v>17881.831729637062</v>
      </c>
      <c r="K391" s="100">
        <v>0</v>
      </c>
      <c r="L391" s="100">
        <v>19545.015087397165</v>
      </c>
      <c r="M391" s="100">
        <v>0</v>
      </c>
      <c r="N391" s="100">
        <v>12890.673865471788</v>
      </c>
      <c r="O391" s="100">
        <v>0</v>
      </c>
      <c r="P391" s="100">
        <v>34320.599638692416</v>
      </c>
      <c r="Q391" s="97" t="s">
        <v>738</v>
      </c>
    </row>
    <row r="392" spans="1:17">
      <c r="A392" s="98">
        <v>391</v>
      </c>
      <c r="B392" s="99" t="s">
        <v>1131</v>
      </c>
      <c r="C392" s="99" t="s">
        <v>474</v>
      </c>
      <c r="D392" s="99" t="s">
        <v>475</v>
      </c>
      <c r="E392" s="99" t="s">
        <v>1132</v>
      </c>
      <c r="F392" s="99" t="s">
        <v>115</v>
      </c>
      <c r="G392" s="99" t="s">
        <v>121</v>
      </c>
      <c r="H392" s="100">
        <v>0</v>
      </c>
      <c r="I392" s="100">
        <v>16904.630202212375</v>
      </c>
      <c r="J392" s="100">
        <f t="shared" si="6"/>
        <v>16904.630202212375</v>
      </c>
      <c r="K392" s="100">
        <v>0</v>
      </c>
      <c r="L392" s="100">
        <v>18484.800167086785</v>
      </c>
      <c r="M392" s="100">
        <v>0</v>
      </c>
      <c r="N392" s="100">
        <v>12170.988236551761</v>
      </c>
      <c r="O392" s="100">
        <v>0</v>
      </c>
      <c r="P392" s="100">
        <v>32445.056747106213</v>
      </c>
      <c r="Q392" s="97" t="s">
        <v>737</v>
      </c>
    </row>
    <row r="393" spans="1:17">
      <c r="A393" s="98">
        <v>392</v>
      </c>
      <c r="B393" s="99" t="s">
        <v>1133</v>
      </c>
      <c r="C393" s="99" t="s">
        <v>612</v>
      </c>
      <c r="D393" s="99" t="s">
        <v>613</v>
      </c>
      <c r="E393" s="99" t="s">
        <v>1134</v>
      </c>
      <c r="F393" s="99" t="s">
        <v>115</v>
      </c>
      <c r="G393" s="99" t="s">
        <v>121</v>
      </c>
      <c r="H393" s="100">
        <v>0</v>
      </c>
      <c r="I393" s="100">
        <v>15977.175014777764</v>
      </c>
      <c r="J393" s="100">
        <f t="shared" si="6"/>
        <v>15977.175014777764</v>
      </c>
      <c r="K393" s="100">
        <v>0</v>
      </c>
      <c r="L393" s="100">
        <v>17322.527467554912</v>
      </c>
      <c r="M393" s="100">
        <v>0</v>
      </c>
      <c r="N393" s="100">
        <v>11087.93771085162</v>
      </c>
      <c r="O393" s="100">
        <v>0</v>
      </c>
      <c r="P393" s="100">
        <v>29890.099017646244</v>
      </c>
      <c r="Q393" s="97" t="s">
        <v>787</v>
      </c>
    </row>
    <row r="394" spans="1:17">
      <c r="A394" s="98">
        <v>393</v>
      </c>
      <c r="B394" s="99" t="s">
        <v>1135</v>
      </c>
      <c r="C394" s="99" t="s">
        <v>474</v>
      </c>
      <c r="D394" s="99" t="s">
        <v>475</v>
      </c>
      <c r="E394" s="99" t="s">
        <v>1136</v>
      </c>
      <c r="F394" s="99" t="s">
        <v>115</v>
      </c>
      <c r="G394" s="99" t="s">
        <v>121</v>
      </c>
      <c r="H394" s="100">
        <v>0</v>
      </c>
      <c r="I394" s="100">
        <v>15962.472752567479</v>
      </c>
      <c r="J394" s="100">
        <f t="shared" si="6"/>
        <v>15962.472752567479</v>
      </c>
      <c r="K394" s="100">
        <v>0</v>
      </c>
      <c r="L394" s="100">
        <v>17542.642717441886</v>
      </c>
      <c r="M394" s="100">
        <v>0</v>
      </c>
      <c r="N394" s="100">
        <v>11228.830786906869</v>
      </c>
      <c r="O394" s="100">
        <v>0</v>
      </c>
      <c r="P394" s="100">
        <v>30636.773954002765</v>
      </c>
      <c r="Q394" s="97" t="s">
        <v>787</v>
      </c>
    </row>
    <row r="395" spans="1:17">
      <c r="A395" s="98">
        <v>394</v>
      </c>
      <c r="B395" s="99" t="s">
        <v>1137</v>
      </c>
      <c r="C395" s="99" t="s">
        <v>434</v>
      </c>
      <c r="D395" s="99" t="s">
        <v>435</v>
      </c>
      <c r="E395" s="99" t="s">
        <v>1138</v>
      </c>
      <c r="F395" s="99" t="s">
        <v>115</v>
      </c>
      <c r="G395" s="99" t="s">
        <v>322</v>
      </c>
      <c r="H395" s="100">
        <v>0</v>
      </c>
      <c r="I395" s="100">
        <v>15955.966603561947</v>
      </c>
      <c r="J395" s="100">
        <f t="shared" si="6"/>
        <v>15955.966603561947</v>
      </c>
      <c r="K395" s="100">
        <v>0</v>
      </c>
      <c r="L395" s="100">
        <v>15935.157871036603</v>
      </c>
      <c r="M395" s="100">
        <v>0</v>
      </c>
      <c r="N395" s="100">
        <v>11837.177198221616</v>
      </c>
      <c r="O395" s="100">
        <v>0</v>
      </c>
      <c r="P395" s="100">
        <v>30047.79762882975</v>
      </c>
      <c r="Q395" s="97" t="s">
        <v>738</v>
      </c>
    </row>
    <row r="396" spans="1:17">
      <c r="A396" s="98">
        <v>395</v>
      </c>
      <c r="B396" s="99" t="s">
        <v>1139</v>
      </c>
      <c r="C396" s="99" t="s">
        <v>574</v>
      </c>
      <c r="D396" s="99" t="s">
        <v>575</v>
      </c>
      <c r="E396" s="99" t="s">
        <v>1140</v>
      </c>
      <c r="F396" s="99" t="s">
        <v>115</v>
      </c>
      <c r="G396" s="99" t="s">
        <v>121</v>
      </c>
      <c r="H396" s="100">
        <v>0</v>
      </c>
      <c r="I396" s="100">
        <v>14592.917976732188</v>
      </c>
      <c r="J396" s="100">
        <f t="shared" si="6"/>
        <v>14592.917976732188</v>
      </c>
      <c r="K396" s="100">
        <v>0</v>
      </c>
      <c r="L396" s="100">
        <v>15909.992604577916</v>
      </c>
      <c r="M396" s="100">
        <v>0</v>
      </c>
      <c r="N396" s="100">
        <v>10183.791442102423</v>
      </c>
      <c r="O396" s="100">
        <v>0</v>
      </c>
      <c r="P396" s="100">
        <v>28308.80158306277</v>
      </c>
      <c r="Q396" s="97" t="s">
        <v>787</v>
      </c>
    </row>
    <row r="397" spans="1:17">
      <c r="A397" s="98">
        <v>396</v>
      </c>
      <c r="B397" s="99" t="s">
        <v>1141</v>
      </c>
      <c r="C397" s="99" t="s">
        <v>404</v>
      </c>
      <c r="D397" s="99" t="s">
        <v>405</v>
      </c>
      <c r="E397" s="99" t="s">
        <v>1142</v>
      </c>
      <c r="F397" s="99" t="s">
        <v>115</v>
      </c>
      <c r="G397" s="99" t="s">
        <v>121</v>
      </c>
      <c r="H397" s="100">
        <v>0</v>
      </c>
      <c r="I397" s="100">
        <v>14473.471311419193</v>
      </c>
      <c r="J397" s="100">
        <f t="shared" si="6"/>
        <v>14473.471311419193</v>
      </c>
      <c r="K397" s="100">
        <v>0</v>
      </c>
      <c r="L397" s="100">
        <v>14976.281673367961</v>
      </c>
      <c r="M397" s="100">
        <v>0</v>
      </c>
      <c r="N397" s="100">
        <v>10517.863473197171</v>
      </c>
      <c r="O397" s="100">
        <v>0</v>
      </c>
      <c r="P397" s="100">
        <v>28625.631559724883</v>
      </c>
      <c r="Q397" s="97" t="s">
        <v>738</v>
      </c>
    </row>
    <row r="398" spans="1:17">
      <c r="A398" s="98">
        <v>397</v>
      </c>
      <c r="B398" s="99" t="s">
        <v>1143</v>
      </c>
      <c r="C398" s="99" t="s">
        <v>526</v>
      </c>
      <c r="D398" s="99" t="s">
        <v>527</v>
      </c>
      <c r="E398" s="99" t="s">
        <v>1144</v>
      </c>
      <c r="F398" s="99" t="s">
        <v>116</v>
      </c>
      <c r="G398" s="99" t="s">
        <v>322</v>
      </c>
      <c r="H398" s="100">
        <v>0</v>
      </c>
      <c r="I398" s="100">
        <v>12781.857618768991</v>
      </c>
      <c r="J398" s="100">
        <f t="shared" si="6"/>
        <v>12781.857618768991</v>
      </c>
      <c r="K398" s="100">
        <v>0</v>
      </c>
      <c r="L398" s="100">
        <v>12762.716929709703</v>
      </c>
      <c r="M398" s="100">
        <v>0</v>
      </c>
      <c r="N398" s="100">
        <v>9051.2696310734555</v>
      </c>
      <c r="O398" s="100">
        <v>0</v>
      </c>
      <c r="P398" s="100">
        <v>25147.026679166112</v>
      </c>
      <c r="Q398" s="97" t="s">
        <v>738</v>
      </c>
    </row>
    <row r="399" spans="1:17">
      <c r="A399" s="98">
        <v>398</v>
      </c>
      <c r="B399" s="99" t="s">
        <v>1145</v>
      </c>
      <c r="C399" s="99" t="s">
        <v>502</v>
      </c>
      <c r="D399" s="99" t="s">
        <v>503</v>
      </c>
      <c r="E399" s="99" t="s">
        <v>1146</v>
      </c>
      <c r="F399" s="99" t="s">
        <v>115</v>
      </c>
      <c r="G399" s="99" t="s">
        <v>121</v>
      </c>
      <c r="H399" s="100">
        <v>0</v>
      </c>
      <c r="I399" s="100">
        <v>14458.23197111529</v>
      </c>
      <c r="J399" s="100">
        <f t="shared" si="6"/>
        <v>14458.23197111529</v>
      </c>
      <c r="K399" s="100">
        <v>0</v>
      </c>
      <c r="L399" s="100">
        <v>14906.741390977448</v>
      </c>
      <c r="M399" s="100">
        <v>0</v>
      </c>
      <c r="N399" s="100">
        <v>10643.826848370931</v>
      </c>
      <c r="O399" s="100">
        <v>0</v>
      </c>
      <c r="P399" s="100">
        <v>28054.753316752107</v>
      </c>
      <c r="Q399" s="97" t="s">
        <v>738</v>
      </c>
    </row>
    <row r="400" spans="1:17">
      <c r="A400" s="98">
        <v>399</v>
      </c>
      <c r="B400" s="99" t="s">
        <v>1147</v>
      </c>
      <c r="C400" s="99" t="s">
        <v>572</v>
      </c>
      <c r="D400" s="99" t="s">
        <v>573</v>
      </c>
      <c r="E400" s="99" t="s">
        <v>1148</v>
      </c>
      <c r="F400" s="99" t="s">
        <v>115</v>
      </c>
      <c r="G400" s="99" t="s">
        <v>121</v>
      </c>
      <c r="H400" s="100">
        <v>0</v>
      </c>
      <c r="I400" s="100">
        <v>12440.330361665048</v>
      </c>
      <c r="J400" s="100">
        <f t="shared" si="6"/>
        <v>12440.330361665048</v>
      </c>
      <c r="K400" s="100">
        <v>0</v>
      </c>
      <c r="L400" s="100">
        <v>13152.006807246189</v>
      </c>
      <c r="M400" s="100">
        <v>0</v>
      </c>
      <c r="N400" s="100">
        <v>9502.0288807870784</v>
      </c>
      <c r="O400" s="100">
        <v>0</v>
      </c>
      <c r="P400" s="100">
        <v>24521.135175877975</v>
      </c>
      <c r="Q400" s="97" t="s">
        <v>738</v>
      </c>
    </row>
    <row r="401" spans="1:17">
      <c r="A401" s="98">
        <v>400</v>
      </c>
      <c r="B401" s="99" t="s">
        <v>1149</v>
      </c>
      <c r="C401" s="99" t="s">
        <v>831</v>
      </c>
      <c r="D401" s="99" t="s">
        <v>583</v>
      </c>
      <c r="E401" s="99" t="s">
        <v>1150</v>
      </c>
      <c r="F401" s="99" t="s">
        <v>115</v>
      </c>
      <c r="G401" s="99" t="s">
        <v>322</v>
      </c>
      <c r="H401" s="100">
        <v>0</v>
      </c>
      <c r="I401" s="100">
        <v>15002.945365786116</v>
      </c>
      <c r="J401" s="100">
        <f t="shared" si="6"/>
        <v>15002.945365786116</v>
      </c>
      <c r="K401" s="100">
        <v>0</v>
      </c>
      <c r="L401" s="100">
        <v>15227.179535711883</v>
      </c>
      <c r="M401" s="100">
        <v>0</v>
      </c>
      <c r="N401" s="100">
        <v>11739.091352693216</v>
      </c>
      <c r="O401" s="100">
        <v>0</v>
      </c>
      <c r="P401" s="100">
        <v>29425.726834277284</v>
      </c>
      <c r="Q401" s="97" t="s">
        <v>738</v>
      </c>
    </row>
    <row r="402" spans="1:17">
      <c r="A402" s="98">
        <v>401</v>
      </c>
      <c r="B402" s="99" t="s">
        <v>1151</v>
      </c>
      <c r="C402" s="99" t="s">
        <v>590</v>
      </c>
      <c r="D402" s="99" t="s">
        <v>591</v>
      </c>
      <c r="E402" s="99" t="s">
        <v>1152</v>
      </c>
      <c r="F402" s="99" t="s">
        <v>117</v>
      </c>
      <c r="G402" s="99" t="s">
        <v>121</v>
      </c>
      <c r="H402" s="100">
        <v>0</v>
      </c>
      <c r="I402" s="100">
        <v>14217.13291504068</v>
      </c>
      <c r="J402" s="100">
        <f t="shared" si="6"/>
        <v>14217.13291504068</v>
      </c>
      <c r="K402" s="100">
        <v>0</v>
      </c>
      <c r="L402" s="100">
        <v>14052.722315666633</v>
      </c>
      <c r="M402" s="100">
        <v>0</v>
      </c>
      <c r="N402" s="100">
        <v>11056.548189811483</v>
      </c>
      <c r="O402" s="100">
        <v>0</v>
      </c>
      <c r="P402" s="100">
        <v>27639.528100130588</v>
      </c>
      <c r="Q402" s="97" t="s">
        <v>738</v>
      </c>
    </row>
    <row r="403" spans="1:17">
      <c r="A403" s="98">
        <v>402</v>
      </c>
      <c r="B403" s="99" t="s">
        <v>1153</v>
      </c>
      <c r="C403" s="99" t="s">
        <v>496</v>
      </c>
      <c r="D403" s="99" t="s">
        <v>497</v>
      </c>
      <c r="E403" s="99" t="s">
        <v>1154</v>
      </c>
      <c r="F403" s="99" t="s">
        <v>117</v>
      </c>
      <c r="G403" s="99" t="s">
        <v>325</v>
      </c>
      <c r="H403" s="100">
        <v>0</v>
      </c>
      <c r="I403" s="100">
        <v>6233.987822668877</v>
      </c>
      <c r="J403" s="100">
        <f t="shared" si="6"/>
        <v>6233.987822668877</v>
      </c>
      <c r="K403" s="100">
        <v>0</v>
      </c>
      <c r="L403" s="100">
        <v>6221.7923218669612</v>
      </c>
      <c r="M403" s="100">
        <v>0</v>
      </c>
      <c r="N403" s="100">
        <v>3663.911470062545</v>
      </c>
      <c r="O403" s="100">
        <v>0</v>
      </c>
      <c r="P403" s="100">
        <v>11735.669095808842</v>
      </c>
      <c r="Q403" s="97" t="s">
        <v>737</v>
      </c>
    </row>
    <row r="404" spans="1:17">
      <c r="A404" s="98">
        <v>403</v>
      </c>
      <c r="B404" s="99" t="s">
        <v>1155</v>
      </c>
      <c r="C404" s="99" t="s">
        <v>436</v>
      </c>
      <c r="D404" s="99" t="s">
        <v>437</v>
      </c>
      <c r="E404" s="99" t="s">
        <v>1156</v>
      </c>
      <c r="F404" s="99" t="s">
        <v>115</v>
      </c>
      <c r="G404" s="99" t="s">
        <v>121</v>
      </c>
      <c r="H404" s="100">
        <v>0</v>
      </c>
      <c r="I404" s="100">
        <v>15990.372965216198</v>
      </c>
      <c r="J404" s="100">
        <f t="shared" si="6"/>
        <v>15990.372965216198</v>
      </c>
      <c r="K404" s="100">
        <v>0</v>
      </c>
      <c r="L404" s="100">
        <v>16640.654695603003</v>
      </c>
      <c r="M404" s="100">
        <v>0</v>
      </c>
      <c r="N404" s="100">
        <v>11864.849227342969</v>
      </c>
      <c r="O404" s="100">
        <v>0</v>
      </c>
      <c r="P404" s="100">
        <v>31478.648219324605</v>
      </c>
      <c r="Q404" s="97" t="s">
        <v>738</v>
      </c>
    </row>
    <row r="405" spans="1:17">
      <c r="A405" s="98">
        <v>404</v>
      </c>
      <c r="B405" s="99" t="s">
        <v>1157</v>
      </c>
      <c r="C405" s="99" t="s">
        <v>474</v>
      </c>
      <c r="D405" s="99" t="s">
        <v>475</v>
      </c>
      <c r="E405" s="99" t="s">
        <v>1158</v>
      </c>
      <c r="F405" s="99" t="s">
        <v>115</v>
      </c>
      <c r="G405" s="99" t="s">
        <v>121</v>
      </c>
      <c r="H405" s="100">
        <v>0</v>
      </c>
      <c r="I405" s="100">
        <v>17106.993042831353</v>
      </c>
      <c r="J405" s="100">
        <f t="shared" si="6"/>
        <v>17106.993042831353</v>
      </c>
      <c r="K405" s="100">
        <v>0</v>
      </c>
      <c r="L405" s="100">
        <v>18687.16300770576</v>
      </c>
      <c r="M405" s="100">
        <v>0</v>
      </c>
      <c r="N405" s="100">
        <v>12373.351077170739</v>
      </c>
      <c r="O405" s="100">
        <v>0</v>
      </c>
      <c r="P405" s="100">
        <v>32833.451747106221</v>
      </c>
      <c r="Q405" s="97" t="s">
        <v>737</v>
      </c>
    </row>
    <row r="406" spans="1:17">
      <c r="A406" s="98">
        <v>405</v>
      </c>
      <c r="B406" s="99" t="s">
        <v>1159</v>
      </c>
      <c r="C406" s="99" t="s">
        <v>628</v>
      </c>
      <c r="D406" s="99" t="s">
        <v>629</v>
      </c>
      <c r="E406" s="99" t="s">
        <v>1160</v>
      </c>
      <c r="F406" s="99" t="s">
        <v>115</v>
      </c>
      <c r="G406" s="99" t="s">
        <v>121</v>
      </c>
      <c r="H406" s="100">
        <v>0</v>
      </c>
      <c r="I406" s="100">
        <v>19391.639551099062</v>
      </c>
      <c r="J406" s="100">
        <f t="shared" si="6"/>
        <v>19391.639551099062</v>
      </c>
      <c r="K406" s="100">
        <v>0</v>
      </c>
      <c r="L406" s="100">
        <v>19794.332580802864</v>
      </c>
      <c r="M406" s="100">
        <v>0</v>
      </c>
      <c r="N406" s="100">
        <v>12670.109895620359</v>
      </c>
      <c r="O406" s="100">
        <v>0</v>
      </c>
      <c r="P406" s="100">
        <v>37350.236939371898</v>
      </c>
      <c r="Q406" s="97" t="s">
        <v>787</v>
      </c>
    </row>
    <row r="407" spans="1:17">
      <c r="A407" s="98">
        <v>406</v>
      </c>
      <c r="B407" s="99" t="s">
        <v>1161</v>
      </c>
      <c r="C407" s="99" t="s">
        <v>773</v>
      </c>
      <c r="D407" s="99" t="s">
        <v>649</v>
      </c>
      <c r="E407" s="99" t="s">
        <v>1162</v>
      </c>
      <c r="F407" s="99" t="s">
        <v>116</v>
      </c>
      <c r="G407" s="99" t="s">
        <v>121</v>
      </c>
      <c r="H407" s="100">
        <v>0</v>
      </c>
      <c r="I407" s="100">
        <v>11011.267103336777</v>
      </c>
      <c r="J407" s="100">
        <f t="shared" si="6"/>
        <v>11011.267103336777</v>
      </c>
      <c r="K407" s="100">
        <v>0</v>
      </c>
      <c r="L407" s="100">
        <v>11419.926086361609</v>
      </c>
      <c r="M407" s="100">
        <v>0</v>
      </c>
      <c r="N407" s="100">
        <v>7826.4164075331382</v>
      </c>
      <c r="O407" s="100">
        <v>0</v>
      </c>
      <c r="P407" s="100">
        <v>21602.784704694353</v>
      </c>
      <c r="Q407" s="97" t="s">
        <v>787</v>
      </c>
    </row>
    <row r="408" spans="1:17">
      <c r="A408" s="98">
        <v>407</v>
      </c>
      <c r="B408" s="99" t="s">
        <v>1163</v>
      </c>
      <c r="C408" s="99" t="s">
        <v>482</v>
      </c>
      <c r="D408" s="99" t="s">
        <v>483</v>
      </c>
      <c r="E408" s="99" t="s">
        <v>1164</v>
      </c>
      <c r="F408" s="99" t="s">
        <v>115</v>
      </c>
      <c r="G408" s="99" t="s">
        <v>322</v>
      </c>
      <c r="H408" s="100">
        <v>0</v>
      </c>
      <c r="I408" s="100">
        <v>14226.117736788176</v>
      </c>
      <c r="J408" s="100">
        <f t="shared" si="6"/>
        <v>14226.117736788176</v>
      </c>
      <c r="K408" s="100">
        <v>0</v>
      </c>
      <c r="L408" s="100">
        <v>13348.580227984467</v>
      </c>
      <c r="M408" s="100">
        <v>0</v>
      </c>
      <c r="N408" s="100">
        <v>9595.7337106977338</v>
      </c>
      <c r="O408" s="100">
        <v>0</v>
      </c>
      <c r="P408" s="100">
        <v>27760.846151568447</v>
      </c>
      <c r="Q408" s="97" t="s">
        <v>738</v>
      </c>
    </row>
    <row r="409" spans="1:17">
      <c r="A409" s="98">
        <v>408</v>
      </c>
      <c r="B409" s="99" t="s">
        <v>1165</v>
      </c>
      <c r="C409" s="99" t="s">
        <v>612</v>
      </c>
      <c r="D409" s="99" t="s">
        <v>613</v>
      </c>
      <c r="E409" s="99" t="s">
        <v>1166</v>
      </c>
      <c r="F409" s="99" t="s">
        <v>115</v>
      </c>
      <c r="G409" s="99" t="s">
        <v>121</v>
      </c>
      <c r="H409" s="100">
        <v>0</v>
      </c>
      <c r="I409" s="100">
        <v>15658.965169548086</v>
      </c>
      <c r="J409" s="100">
        <f t="shared" si="6"/>
        <v>15658.965169548086</v>
      </c>
      <c r="K409" s="100">
        <v>0</v>
      </c>
      <c r="L409" s="100">
        <v>16586.209088224288</v>
      </c>
      <c r="M409" s="100">
        <v>0</v>
      </c>
      <c r="N409" s="100">
        <v>12351.380712963703</v>
      </c>
      <c r="O409" s="100">
        <v>0</v>
      </c>
      <c r="P409" s="100">
        <v>29294.792039190561</v>
      </c>
      <c r="Q409" s="97" t="s">
        <v>738</v>
      </c>
    </row>
    <row r="410" spans="1:17">
      <c r="A410" s="98">
        <v>409</v>
      </c>
      <c r="B410" s="99" t="s">
        <v>1167</v>
      </c>
      <c r="C410" s="99" t="s">
        <v>572</v>
      </c>
      <c r="D410" s="99" t="s">
        <v>573</v>
      </c>
      <c r="E410" s="99" t="s">
        <v>1168</v>
      </c>
      <c r="F410" s="99" t="s">
        <v>115</v>
      </c>
      <c r="G410" s="99" t="s">
        <v>121</v>
      </c>
      <c r="H410" s="100">
        <v>0</v>
      </c>
      <c r="I410" s="100">
        <v>14123.564129895143</v>
      </c>
      <c r="J410" s="100">
        <f t="shared" si="6"/>
        <v>14123.564129895143</v>
      </c>
      <c r="K410" s="100">
        <v>0</v>
      </c>
      <c r="L410" s="100">
        <v>14847.043855299718</v>
      </c>
      <c r="M410" s="100">
        <v>0</v>
      </c>
      <c r="N410" s="100">
        <v>11158.507050410457</v>
      </c>
      <c r="O410" s="100">
        <v>0</v>
      </c>
      <c r="P410" s="100">
        <v>27838.957256436315</v>
      </c>
      <c r="Q410" s="97" t="s">
        <v>738</v>
      </c>
    </row>
    <row r="411" spans="1:17">
      <c r="A411" s="98">
        <v>410</v>
      </c>
      <c r="B411" s="99" t="s">
        <v>1169</v>
      </c>
      <c r="C411" s="99" t="s">
        <v>376</v>
      </c>
      <c r="D411" s="99" t="s">
        <v>377</v>
      </c>
      <c r="E411" s="99" t="s">
        <v>1170</v>
      </c>
      <c r="F411" s="99" t="s">
        <v>119</v>
      </c>
      <c r="G411" s="99" t="s">
        <v>325</v>
      </c>
      <c r="H411" s="100">
        <v>0</v>
      </c>
      <c r="I411" s="100">
        <v>18110.323245335476</v>
      </c>
      <c r="J411" s="100">
        <f t="shared" si="6"/>
        <v>18110.323245335476</v>
      </c>
      <c r="K411" s="100">
        <v>0</v>
      </c>
      <c r="L411" s="100">
        <v>16111.836556258279</v>
      </c>
      <c r="M411" s="100">
        <v>0</v>
      </c>
      <c r="N411" s="100">
        <v>13524.982494865488</v>
      </c>
      <c r="O411" s="100">
        <v>0</v>
      </c>
      <c r="P411" s="100">
        <v>35536.257375229725</v>
      </c>
      <c r="Q411" s="97" t="s">
        <v>737</v>
      </c>
    </row>
    <row r="412" spans="1:17">
      <c r="A412" s="98">
        <v>411</v>
      </c>
      <c r="B412" s="99" t="s">
        <v>1171</v>
      </c>
      <c r="C412" s="99" t="s">
        <v>628</v>
      </c>
      <c r="D412" s="99" t="s">
        <v>629</v>
      </c>
      <c r="E412" s="99" t="s">
        <v>1172</v>
      </c>
      <c r="F412" s="99" t="s">
        <v>115</v>
      </c>
      <c r="G412" s="99" t="s">
        <v>121</v>
      </c>
      <c r="H412" s="100">
        <v>0</v>
      </c>
      <c r="I412" s="100">
        <v>22581.837258680745</v>
      </c>
      <c r="J412" s="100">
        <f t="shared" si="6"/>
        <v>22581.837258680745</v>
      </c>
      <c r="K412" s="100">
        <v>0</v>
      </c>
      <c r="L412" s="100">
        <v>23010.838336134791</v>
      </c>
      <c r="M412" s="100">
        <v>0</v>
      </c>
      <c r="N412" s="100">
        <v>15372.713695115401</v>
      </c>
      <c r="O412" s="100">
        <v>0</v>
      </c>
      <c r="P412" s="100">
        <v>43494.87674394498</v>
      </c>
      <c r="Q412" s="97" t="s">
        <v>738</v>
      </c>
    </row>
    <row r="413" spans="1:17">
      <c r="A413" s="98">
        <v>412</v>
      </c>
      <c r="B413" s="99" t="s">
        <v>1173</v>
      </c>
      <c r="C413" s="99" t="s">
        <v>332</v>
      </c>
      <c r="D413" s="99" t="s">
        <v>333</v>
      </c>
      <c r="E413" s="99" t="s">
        <v>1174</v>
      </c>
      <c r="F413" s="99" t="s">
        <v>115</v>
      </c>
      <c r="G413" s="99" t="s">
        <v>322</v>
      </c>
      <c r="H413" s="100">
        <v>0</v>
      </c>
      <c r="I413" s="100">
        <v>21230.076668439571</v>
      </c>
      <c r="J413" s="100">
        <f t="shared" si="6"/>
        <v>21230.076668439571</v>
      </c>
      <c r="K413" s="100">
        <v>0</v>
      </c>
      <c r="L413" s="100">
        <v>21622.369791933561</v>
      </c>
      <c r="M413" s="100">
        <v>0</v>
      </c>
      <c r="N413" s="100">
        <v>16956.182455291284</v>
      </c>
      <c r="O413" s="100">
        <v>0</v>
      </c>
      <c r="P413" s="100">
        <v>40636.914352593551</v>
      </c>
      <c r="Q413" s="97" t="s">
        <v>738</v>
      </c>
    </row>
    <row r="414" spans="1:17">
      <c r="A414" s="98">
        <v>413</v>
      </c>
      <c r="B414" s="99" t="s">
        <v>1175</v>
      </c>
      <c r="C414" s="99" t="s">
        <v>664</v>
      </c>
      <c r="D414" s="99" t="s">
        <v>665</v>
      </c>
      <c r="E414" s="99" t="s">
        <v>1176</v>
      </c>
      <c r="F414" s="99" t="s">
        <v>120</v>
      </c>
      <c r="G414" s="99" t="s">
        <v>121</v>
      </c>
      <c r="H414" s="100">
        <v>0</v>
      </c>
      <c r="I414" s="100">
        <v>14304.371859842544</v>
      </c>
      <c r="J414" s="100">
        <f t="shared" si="6"/>
        <v>14304.371859842544</v>
      </c>
      <c r="K414" s="100">
        <v>0</v>
      </c>
      <c r="L414" s="100">
        <v>14718.61439542484</v>
      </c>
      <c r="M414" s="100">
        <v>0</v>
      </c>
      <c r="N414" s="100">
        <v>9519.5211712715409</v>
      </c>
      <c r="O414" s="100">
        <v>0</v>
      </c>
      <c r="P414" s="100">
        <v>28086.634146800836</v>
      </c>
      <c r="Q414" s="97" t="s">
        <v>787</v>
      </c>
    </row>
    <row r="415" spans="1:17">
      <c r="A415" s="98">
        <v>414</v>
      </c>
      <c r="B415" s="99" t="s">
        <v>1177</v>
      </c>
      <c r="C415" s="99" t="s">
        <v>472</v>
      </c>
      <c r="D415" s="99" t="s">
        <v>473</v>
      </c>
      <c r="E415" s="99" t="s">
        <v>1178</v>
      </c>
      <c r="F415" s="99" t="s">
        <v>117</v>
      </c>
      <c r="G415" s="99" t="s">
        <v>121</v>
      </c>
      <c r="H415" s="100">
        <v>0</v>
      </c>
      <c r="I415" s="100">
        <v>16751.931335088902</v>
      </c>
      <c r="J415" s="100">
        <f t="shared" si="6"/>
        <v>16751.931335088902</v>
      </c>
      <c r="K415" s="100">
        <v>0</v>
      </c>
      <c r="L415" s="100">
        <v>15179.092025879516</v>
      </c>
      <c r="M415" s="100">
        <v>0</v>
      </c>
      <c r="N415" s="100">
        <v>10219.046755191048</v>
      </c>
      <c r="O415" s="100">
        <v>0</v>
      </c>
      <c r="P415" s="100">
        <v>32884.878807346271</v>
      </c>
      <c r="Q415" s="97" t="s">
        <v>738</v>
      </c>
    </row>
    <row r="416" spans="1:17">
      <c r="A416" s="98">
        <v>415</v>
      </c>
      <c r="B416" s="99" t="s">
        <v>1179</v>
      </c>
      <c r="C416" s="99" t="s">
        <v>412</v>
      </c>
      <c r="D416" s="99" t="s">
        <v>413</v>
      </c>
      <c r="E416" s="99" t="s">
        <v>1180</v>
      </c>
      <c r="F416" s="99" t="s">
        <v>116</v>
      </c>
      <c r="G416" s="99" t="s">
        <v>322</v>
      </c>
      <c r="H416" s="100">
        <v>0</v>
      </c>
      <c r="I416" s="100">
        <v>14377.494024290554</v>
      </c>
      <c r="J416" s="100">
        <f t="shared" si="6"/>
        <v>14377.494024290554</v>
      </c>
      <c r="K416" s="100">
        <v>0</v>
      </c>
      <c r="L416" s="100">
        <v>14141.01866514116</v>
      </c>
      <c r="M416" s="100">
        <v>0</v>
      </c>
      <c r="N416" s="100">
        <v>11101.695473942913</v>
      </c>
      <c r="O416" s="100">
        <v>0</v>
      </c>
      <c r="P416" s="100">
        <v>27963.650777484156</v>
      </c>
      <c r="Q416" s="97" t="s">
        <v>737</v>
      </c>
    </row>
    <row r="417" spans="1:17">
      <c r="A417" s="98">
        <v>416</v>
      </c>
      <c r="B417" s="99" t="s">
        <v>1181</v>
      </c>
      <c r="C417" s="99" t="s">
        <v>436</v>
      </c>
      <c r="D417" s="99" t="s">
        <v>437</v>
      </c>
      <c r="E417" s="99" t="s">
        <v>1182</v>
      </c>
      <c r="F417" s="99" t="s">
        <v>115</v>
      </c>
      <c r="G417" s="99" t="s">
        <v>121</v>
      </c>
      <c r="H417" s="100">
        <v>0</v>
      </c>
      <c r="I417" s="100">
        <v>16339.16171492441</v>
      </c>
      <c r="J417" s="100">
        <f t="shared" si="6"/>
        <v>16339.16171492441</v>
      </c>
      <c r="K417" s="100">
        <v>0</v>
      </c>
      <c r="L417" s="100">
        <v>16998.750576928931</v>
      </c>
      <c r="M417" s="100">
        <v>0</v>
      </c>
      <c r="N417" s="100">
        <v>12150.523982012148</v>
      </c>
      <c r="O417" s="100">
        <v>0</v>
      </c>
      <c r="P417" s="100">
        <v>32165.273752000194</v>
      </c>
      <c r="Q417" s="97" t="s">
        <v>738</v>
      </c>
    </row>
    <row r="418" spans="1:17">
      <c r="A418" s="98">
        <v>417</v>
      </c>
      <c r="B418" s="99" t="s">
        <v>1183</v>
      </c>
      <c r="C418" s="99" t="s">
        <v>436</v>
      </c>
      <c r="D418" s="99" t="s">
        <v>437</v>
      </c>
      <c r="E418" s="99" t="s">
        <v>1184</v>
      </c>
      <c r="F418" s="99" t="s">
        <v>115</v>
      </c>
      <c r="G418" s="99" t="s">
        <v>121</v>
      </c>
      <c r="H418" s="100">
        <v>0</v>
      </c>
      <c r="I418" s="100">
        <v>12925.411614358874</v>
      </c>
      <c r="J418" s="100">
        <f t="shared" si="6"/>
        <v>12925.411614358874</v>
      </c>
      <c r="K418" s="100">
        <v>0</v>
      </c>
      <c r="L418" s="100">
        <v>13575.548391732047</v>
      </c>
      <c r="M418" s="100">
        <v>0</v>
      </c>
      <c r="N418" s="100">
        <v>8801.5528279514729</v>
      </c>
      <c r="O418" s="100">
        <v>0</v>
      </c>
      <c r="P418" s="100">
        <v>25444.965304026879</v>
      </c>
      <c r="Q418" s="97" t="s">
        <v>737</v>
      </c>
    </row>
    <row r="419" spans="1:17">
      <c r="A419" s="98">
        <v>418</v>
      </c>
      <c r="B419" s="99" t="s">
        <v>1185</v>
      </c>
      <c r="C419" s="99" t="s">
        <v>526</v>
      </c>
      <c r="D419" s="99" t="s">
        <v>527</v>
      </c>
      <c r="E419" s="99" t="s">
        <v>1186</v>
      </c>
      <c r="F419" s="99" t="s">
        <v>116</v>
      </c>
      <c r="G419" s="99" t="s">
        <v>322</v>
      </c>
      <c r="H419" s="100">
        <v>0</v>
      </c>
      <c r="I419" s="100">
        <v>7603.6722809880266</v>
      </c>
      <c r="J419" s="100">
        <f t="shared" si="6"/>
        <v>7603.6722809880266</v>
      </c>
      <c r="K419" s="100">
        <v>0</v>
      </c>
      <c r="L419" s="100">
        <v>7589.2086198016805</v>
      </c>
      <c r="M419" s="100">
        <v>0</v>
      </c>
      <c r="N419" s="100">
        <v>4813.1668957540523</v>
      </c>
      <c r="O419" s="100">
        <v>0</v>
      </c>
      <c r="P419" s="100">
        <v>14959.464845615845</v>
      </c>
      <c r="Q419" s="97" t="s">
        <v>787</v>
      </c>
    </row>
    <row r="420" spans="1:17">
      <c r="A420" s="98">
        <v>419</v>
      </c>
      <c r="B420" s="99" t="s">
        <v>1187</v>
      </c>
      <c r="C420" s="99" t="s">
        <v>690</v>
      </c>
      <c r="D420" s="99" t="s">
        <v>691</v>
      </c>
      <c r="E420" s="99" t="s">
        <v>1188</v>
      </c>
      <c r="F420" s="99" t="s">
        <v>117</v>
      </c>
      <c r="G420" s="99" t="s">
        <v>121</v>
      </c>
      <c r="H420" s="100">
        <v>0</v>
      </c>
      <c r="I420" s="100">
        <v>14232.60761606957</v>
      </c>
      <c r="J420" s="100">
        <f t="shared" si="6"/>
        <v>14232.60761606957</v>
      </c>
      <c r="K420" s="100">
        <v>0</v>
      </c>
      <c r="L420" s="100">
        <v>14397.398238575317</v>
      </c>
      <c r="M420" s="100">
        <v>0</v>
      </c>
      <c r="N420" s="100">
        <v>10490.450199170251</v>
      </c>
      <c r="O420" s="100">
        <v>0</v>
      </c>
      <c r="P420" s="100">
        <v>28274.64061615997</v>
      </c>
      <c r="Q420" s="97" t="s">
        <v>737</v>
      </c>
    </row>
    <row r="421" spans="1:17">
      <c r="A421" s="98">
        <v>420</v>
      </c>
      <c r="B421" s="99" t="s">
        <v>1189</v>
      </c>
      <c r="C421" s="99" t="s">
        <v>336</v>
      </c>
      <c r="D421" s="99" t="s">
        <v>337</v>
      </c>
      <c r="E421" s="99" t="s">
        <v>1190</v>
      </c>
      <c r="F421" s="99" t="s">
        <v>115</v>
      </c>
      <c r="G421" s="99" t="s">
        <v>121</v>
      </c>
      <c r="H421" s="100">
        <v>0</v>
      </c>
      <c r="I421" s="100">
        <v>16826.53600739154</v>
      </c>
      <c r="J421" s="100">
        <f t="shared" si="6"/>
        <v>16826.53600739154</v>
      </c>
      <c r="K421" s="100">
        <v>0</v>
      </c>
      <c r="L421" s="100">
        <v>17612.33044890175</v>
      </c>
      <c r="M421" s="100">
        <v>0</v>
      </c>
      <c r="N421" s="100">
        <v>12411.406297034164</v>
      </c>
      <c r="O421" s="100">
        <v>0</v>
      </c>
      <c r="P421" s="100">
        <v>32813.427868014245</v>
      </c>
      <c r="Q421" s="97" t="s">
        <v>737</v>
      </c>
    </row>
    <row r="422" spans="1:17">
      <c r="A422" s="98">
        <v>421</v>
      </c>
      <c r="B422" s="99" t="s">
        <v>1191</v>
      </c>
      <c r="C422" s="99" t="s">
        <v>402</v>
      </c>
      <c r="D422" s="99" t="s">
        <v>403</v>
      </c>
      <c r="E422" s="99" t="s">
        <v>1192</v>
      </c>
      <c r="F422" s="99" t="s">
        <v>115</v>
      </c>
      <c r="G422" s="99" t="s">
        <v>121</v>
      </c>
      <c r="H422" s="100">
        <v>0</v>
      </c>
      <c r="I422" s="100">
        <v>19263.155469180674</v>
      </c>
      <c r="J422" s="100">
        <f t="shared" si="6"/>
        <v>19263.155469180674</v>
      </c>
      <c r="K422" s="100">
        <v>0</v>
      </c>
      <c r="L422" s="100">
        <v>20876.921270904346</v>
      </c>
      <c r="M422" s="100">
        <v>0</v>
      </c>
      <c r="N422" s="100">
        <v>14438.018180491063</v>
      </c>
      <c r="O422" s="100">
        <v>0</v>
      </c>
      <c r="P422" s="100">
        <v>37220.268997550898</v>
      </c>
      <c r="Q422" s="97" t="s">
        <v>737</v>
      </c>
    </row>
    <row r="423" spans="1:17">
      <c r="A423" s="98">
        <v>422</v>
      </c>
      <c r="B423" s="99" t="s">
        <v>1193</v>
      </c>
      <c r="C423" s="99" t="s">
        <v>660</v>
      </c>
      <c r="D423" s="99" t="s">
        <v>661</v>
      </c>
      <c r="E423" s="99" t="s">
        <v>1194</v>
      </c>
      <c r="F423" s="99" t="s">
        <v>117</v>
      </c>
      <c r="G423" s="99" t="s">
        <v>121</v>
      </c>
      <c r="H423" s="100">
        <v>0</v>
      </c>
      <c r="I423" s="100">
        <v>12996.703305921628</v>
      </c>
      <c r="J423" s="100">
        <f t="shared" si="6"/>
        <v>12996.703305921628</v>
      </c>
      <c r="K423" s="100">
        <v>0</v>
      </c>
      <c r="L423" s="100">
        <v>13728.779181715538</v>
      </c>
      <c r="M423" s="100">
        <v>0</v>
      </c>
      <c r="N423" s="100">
        <v>10637.792547475437</v>
      </c>
      <c r="O423" s="100">
        <v>0</v>
      </c>
      <c r="P423" s="100">
        <v>25607.274556624321</v>
      </c>
      <c r="Q423" s="97" t="s">
        <v>738</v>
      </c>
    </row>
    <row r="424" spans="1:17">
      <c r="A424" s="98">
        <v>423</v>
      </c>
      <c r="B424" s="99" t="s">
        <v>1195</v>
      </c>
      <c r="C424" s="99" t="s">
        <v>436</v>
      </c>
      <c r="D424" s="99" t="s">
        <v>437</v>
      </c>
      <c r="E424" s="99" t="s">
        <v>1196</v>
      </c>
      <c r="F424" s="99" t="s">
        <v>115</v>
      </c>
      <c r="G424" s="99" t="s">
        <v>121</v>
      </c>
      <c r="H424" s="100">
        <v>0</v>
      </c>
      <c r="I424" s="100">
        <v>15753.337312600032</v>
      </c>
      <c r="J424" s="100">
        <f t="shared" si="6"/>
        <v>15753.337312600032</v>
      </c>
      <c r="K424" s="100">
        <v>0</v>
      </c>
      <c r="L424" s="100">
        <v>16412.952007814896</v>
      </c>
      <c r="M424" s="100">
        <v>0</v>
      </c>
      <c r="N424" s="100">
        <v>11564.5225342828</v>
      </c>
      <c r="O424" s="100">
        <v>0</v>
      </c>
      <c r="P424" s="100">
        <v>31012.019833584418</v>
      </c>
      <c r="Q424" s="97" t="s">
        <v>738</v>
      </c>
    </row>
    <row r="425" spans="1:17">
      <c r="A425" s="98">
        <v>424</v>
      </c>
      <c r="B425" s="99" t="s">
        <v>1197</v>
      </c>
      <c r="C425" s="99" t="s">
        <v>526</v>
      </c>
      <c r="D425" s="99" t="s">
        <v>527</v>
      </c>
      <c r="E425" s="99" t="s">
        <v>1198</v>
      </c>
      <c r="F425" s="99" t="s">
        <v>116</v>
      </c>
      <c r="G425" s="99" t="s">
        <v>322</v>
      </c>
      <c r="H425" s="100">
        <v>0</v>
      </c>
      <c r="I425" s="100">
        <v>15551.212318380127</v>
      </c>
      <c r="J425" s="100">
        <f t="shared" si="6"/>
        <v>15551.212318380127</v>
      </c>
      <c r="K425" s="100">
        <v>0</v>
      </c>
      <c r="L425" s="100">
        <v>15536.748657193782</v>
      </c>
      <c r="M425" s="100">
        <v>0</v>
      </c>
      <c r="N425" s="100">
        <v>12760.706933146153</v>
      </c>
      <c r="O425" s="100">
        <v>0</v>
      </c>
      <c r="P425" s="100">
        <v>30595.455115181063</v>
      </c>
      <c r="Q425" s="97" t="s">
        <v>737</v>
      </c>
    </row>
    <row r="426" spans="1:17">
      <c r="A426" s="98">
        <v>425</v>
      </c>
      <c r="B426" s="99" t="s">
        <v>1199</v>
      </c>
      <c r="C426" s="99" t="s">
        <v>378</v>
      </c>
      <c r="D426" s="99" t="s">
        <v>379</v>
      </c>
      <c r="E426" s="99" t="s">
        <v>1200</v>
      </c>
      <c r="F426" s="99" t="s">
        <v>120</v>
      </c>
      <c r="G426" s="99" t="s">
        <v>121</v>
      </c>
      <c r="H426" s="100">
        <v>0</v>
      </c>
      <c r="I426" s="100">
        <v>14336.097683693853</v>
      </c>
      <c r="J426" s="100">
        <f t="shared" si="6"/>
        <v>14336.097683693853</v>
      </c>
      <c r="K426" s="100">
        <v>0</v>
      </c>
      <c r="L426" s="100">
        <v>15365.652908288626</v>
      </c>
      <c r="M426" s="100">
        <v>0</v>
      </c>
      <c r="N426" s="100">
        <v>9938.0046410028699</v>
      </c>
      <c r="O426" s="100">
        <v>0</v>
      </c>
      <c r="P426" s="100">
        <v>27915.249409688673</v>
      </c>
      <c r="Q426" s="97" t="s">
        <v>787</v>
      </c>
    </row>
    <row r="427" spans="1:17">
      <c r="A427" s="98">
        <v>426</v>
      </c>
      <c r="B427" s="99" t="s">
        <v>1201</v>
      </c>
      <c r="C427" s="99" t="s">
        <v>662</v>
      </c>
      <c r="D427" s="99" t="s">
        <v>663</v>
      </c>
      <c r="E427" s="99" t="s">
        <v>1202</v>
      </c>
      <c r="F427" s="99" t="s">
        <v>115</v>
      </c>
      <c r="G427" s="99" t="s">
        <v>121</v>
      </c>
      <c r="H427" s="100">
        <v>0</v>
      </c>
      <c r="I427" s="100">
        <v>17000.959386702874</v>
      </c>
      <c r="J427" s="100">
        <f t="shared" si="6"/>
        <v>17000.959386702874</v>
      </c>
      <c r="K427" s="100">
        <v>0</v>
      </c>
      <c r="L427" s="100">
        <v>17479.179110716592</v>
      </c>
      <c r="M427" s="100">
        <v>0</v>
      </c>
      <c r="N427" s="100">
        <v>12076.75549351</v>
      </c>
      <c r="O427" s="100">
        <v>0</v>
      </c>
      <c r="P427" s="100">
        <v>33367.782988281731</v>
      </c>
      <c r="Q427" s="97" t="s">
        <v>737</v>
      </c>
    </row>
    <row r="428" spans="1:17">
      <c r="A428" s="98">
        <v>427</v>
      </c>
      <c r="B428" s="99" t="s">
        <v>1203</v>
      </c>
      <c r="C428" s="99" t="s">
        <v>526</v>
      </c>
      <c r="D428" s="99" t="s">
        <v>527</v>
      </c>
      <c r="E428" s="99" t="s">
        <v>1204</v>
      </c>
      <c r="F428" s="99" t="s">
        <v>116</v>
      </c>
      <c r="G428" s="99" t="s">
        <v>322</v>
      </c>
      <c r="H428" s="100">
        <v>0</v>
      </c>
      <c r="I428" s="100">
        <v>15741.873139712136</v>
      </c>
      <c r="J428" s="100">
        <f t="shared" si="6"/>
        <v>15741.873139712136</v>
      </c>
      <c r="K428" s="100">
        <v>0</v>
      </c>
      <c r="L428" s="100">
        <v>15721.568175118564</v>
      </c>
      <c r="M428" s="100">
        <v>0</v>
      </c>
      <c r="N428" s="100">
        <v>11777.265769626436</v>
      </c>
      <c r="O428" s="100">
        <v>0</v>
      </c>
      <c r="P428" s="100">
        <v>30970.561215069654</v>
      </c>
      <c r="Q428" s="97" t="s">
        <v>738</v>
      </c>
    </row>
    <row r="429" spans="1:17">
      <c r="A429" s="98">
        <v>428</v>
      </c>
      <c r="B429" s="99" t="s">
        <v>1205</v>
      </c>
      <c r="C429" s="99" t="s">
        <v>478</v>
      </c>
      <c r="D429" s="99" t="s">
        <v>479</v>
      </c>
      <c r="E429" s="99" t="s">
        <v>1206</v>
      </c>
      <c r="F429" s="99" t="s">
        <v>114</v>
      </c>
      <c r="G429" s="99" t="s">
        <v>121</v>
      </c>
      <c r="H429" s="100">
        <v>0</v>
      </c>
      <c r="I429" s="100">
        <v>23368.668020136618</v>
      </c>
      <c r="J429" s="100">
        <f t="shared" si="6"/>
        <v>23368.668020136618</v>
      </c>
      <c r="K429" s="100">
        <v>0</v>
      </c>
      <c r="L429" s="100">
        <v>24866.788416573352</v>
      </c>
      <c r="M429" s="100">
        <v>0</v>
      </c>
      <c r="N429" s="100">
        <v>18393.929619260922</v>
      </c>
      <c r="O429" s="100">
        <v>0</v>
      </c>
      <c r="P429" s="100">
        <v>46129.750671749687</v>
      </c>
      <c r="Q429" s="97" t="s">
        <v>738</v>
      </c>
    </row>
    <row r="430" spans="1:17">
      <c r="A430" s="98">
        <v>429</v>
      </c>
      <c r="B430" s="99" t="s">
        <v>1207</v>
      </c>
      <c r="C430" s="99" t="s">
        <v>526</v>
      </c>
      <c r="D430" s="99" t="s">
        <v>527</v>
      </c>
      <c r="E430" s="99" t="s">
        <v>1208</v>
      </c>
      <c r="F430" s="99" t="s">
        <v>116</v>
      </c>
      <c r="G430" s="99" t="s">
        <v>322</v>
      </c>
      <c r="H430" s="100">
        <v>0</v>
      </c>
      <c r="I430" s="100">
        <v>16741.070874404468</v>
      </c>
      <c r="J430" s="100">
        <f t="shared" si="6"/>
        <v>16741.070874404468</v>
      </c>
      <c r="K430" s="100">
        <v>0</v>
      </c>
      <c r="L430" s="100">
        <v>16719.753901369495</v>
      </c>
      <c r="M430" s="100">
        <v>0</v>
      </c>
      <c r="N430" s="100">
        <v>12573.049807597536</v>
      </c>
      <c r="O430" s="100">
        <v>0</v>
      </c>
      <c r="P430" s="100">
        <v>32936.382838303347</v>
      </c>
      <c r="Q430" s="97" t="s">
        <v>738</v>
      </c>
    </row>
    <row r="431" spans="1:17">
      <c r="A431" s="98">
        <v>430</v>
      </c>
      <c r="B431" s="99" t="s">
        <v>1209</v>
      </c>
      <c r="C431" s="99" t="s">
        <v>386</v>
      </c>
      <c r="D431" s="99" t="s">
        <v>387</v>
      </c>
      <c r="E431" s="99" t="s">
        <v>1210</v>
      </c>
      <c r="F431" s="99" t="s">
        <v>114</v>
      </c>
      <c r="G431" s="99" t="s">
        <v>322</v>
      </c>
      <c r="H431" s="100">
        <v>0</v>
      </c>
      <c r="I431" s="100">
        <v>18340.594030923232</v>
      </c>
      <c r="J431" s="100">
        <f t="shared" si="6"/>
        <v>18340.594030923232</v>
      </c>
      <c r="K431" s="100">
        <v>0</v>
      </c>
      <c r="L431" s="100">
        <v>18936.717295825634</v>
      </c>
      <c r="M431" s="100">
        <v>0</v>
      </c>
      <c r="N431" s="100">
        <v>13864.976922034182</v>
      </c>
      <c r="O431" s="100">
        <v>0</v>
      </c>
      <c r="P431" s="100">
        <v>35767.826479106487</v>
      </c>
      <c r="Q431" s="97" t="s">
        <v>738</v>
      </c>
    </row>
    <row r="432" spans="1:17">
      <c r="A432" s="98">
        <v>431</v>
      </c>
      <c r="B432" s="99" t="s">
        <v>1211</v>
      </c>
      <c r="C432" s="99" t="s">
        <v>462</v>
      </c>
      <c r="D432" s="99" t="s">
        <v>463</v>
      </c>
      <c r="E432" s="99" t="s">
        <v>1212</v>
      </c>
      <c r="F432" s="99" t="s">
        <v>118</v>
      </c>
      <c r="G432" s="99" t="s">
        <v>325</v>
      </c>
      <c r="H432" s="100">
        <v>0</v>
      </c>
      <c r="I432" s="100">
        <v>8480.5972895474861</v>
      </c>
      <c r="J432" s="100">
        <f t="shared" si="6"/>
        <v>8480.5972895474861</v>
      </c>
      <c r="K432" s="100">
        <v>0</v>
      </c>
      <c r="L432" s="100">
        <v>8399.9010742015671</v>
      </c>
      <c r="M432" s="100">
        <v>0</v>
      </c>
      <c r="N432" s="100">
        <v>6533.4290251292005</v>
      </c>
      <c r="O432" s="100">
        <v>0</v>
      </c>
      <c r="P432" s="100">
        <v>16552.260177792989</v>
      </c>
      <c r="Q432" s="97" t="s">
        <v>737</v>
      </c>
    </row>
    <row r="433" spans="1:17">
      <c r="A433" s="98">
        <v>432</v>
      </c>
      <c r="B433" s="99" t="s">
        <v>1213</v>
      </c>
      <c r="C433" s="99" t="s">
        <v>634</v>
      </c>
      <c r="D433" s="99" t="s">
        <v>635</v>
      </c>
      <c r="E433" s="99" t="s">
        <v>1214</v>
      </c>
      <c r="F433" s="99" t="s">
        <v>114</v>
      </c>
      <c r="G433" s="99" t="s">
        <v>121</v>
      </c>
      <c r="H433" s="100">
        <v>0</v>
      </c>
      <c r="I433" s="100">
        <v>16249.56152195297</v>
      </c>
      <c r="J433" s="100">
        <f t="shared" si="6"/>
        <v>16249.56152195297</v>
      </c>
      <c r="K433" s="100">
        <v>0</v>
      </c>
      <c r="L433" s="100">
        <v>18213.363203803401</v>
      </c>
      <c r="M433" s="100">
        <v>0</v>
      </c>
      <c r="N433" s="100">
        <v>11279.293841971341</v>
      </c>
      <c r="O433" s="100">
        <v>0</v>
      </c>
      <c r="P433" s="100">
        <v>31930.388390637581</v>
      </c>
      <c r="Q433" s="97" t="s">
        <v>738</v>
      </c>
    </row>
    <row r="434" spans="1:17">
      <c r="A434" s="98">
        <v>433</v>
      </c>
      <c r="B434" s="99" t="s">
        <v>1215</v>
      </c>
      <c r="C434" s="99" t="s">
        <v>662</v>
      </c>
      <c r="D434" s="99" t="s">
        <v>663</v>
      </c>
      <c r="E434" s="99" t="s">
        <v>1216</v>
      </c>
      <c r="F434" s="99" t="s">
        <v>115</v>
      </c>
      <c r="G434" s="99" t="s">
        <v>121</v>
      </c>
      <c r="H434" s="100">
        <v>0</v>
      </c>
      <c r="I434" s="100">
        <v>14532.17152102523</v>
      </c>
      <c r="J434" s="100">
        <f t="shared" si="6"/>
        <v>14532.17152102523</v>
      </c>
      <c r="K434" s="100">
        <v>0</v>
      </c>
      <c r="L434" s="100">
        <v>15010.391245038945</v>
      </c>
      <c r="M434" s="100">
        <v>0</v>
      </c>
      <c r="N434" s="100">
        <v>9607.9676278323532</v>
      </c>
      <c r="O434" s="100">
        <v>0</v>
      </c>
      <c r="P434" s="100">
        <v>28522.293044316215</v>
      </c>
      <c r="Q434" s="97" t="s">
        <v>787</v>
      </c>
    </row>
    <row r="435" spans="1:17">
      <c r="A435" s="98">
        <v>434</v>
      </c>
      <c r="B435" s="99" t="s">
        <v>1217</v>
      </c>
      <c r="C435" s="99" t="s">
        <v>378</v>
      </c>
      <c r="D435" s="99" t="s">
        <v>379</v>
      </c>
      <c r="E435" s="99" t="s">
        <v>1218</v>
      </c>
      <c r="F435" s="99" t="s">
        <v>120</v>
      </c>
      <c r="G435" s="99" t="s">
        <v>121</v>
      </c>
      <c r="H435" s="100">
        <v>0</v>
      </c>
      <c r="I435" s="100">
        <v>14336.097683693853</v>
      </c>
      <c r="J435" s="100">
        <f t="shared" si="6"/>
        <v>14336.097683693853</v>
      </c>
      <c r="K435" s="100">
        <v>0</v>
      </c>
      <c r="L435" s="100">
        <v>15365.652908288626</v>
      </c>
      <c r="M435" s="100">
        <v>0</v>
      </c>
      <c r="N435" s="100">
        <v>9938.0046410028699</v>
      </c>
      <c r="O435" s="100">
        <v>0</v>
      </c>
      <c r="P435" s="100">
        <v>27915.249409688673</v>
      </c>
      <c r="Q435" s="97" t="s">
        <v>787</v>
      </c>
    </row>
    <row r="436" spans="1:17">
      <c r="A436" s="98">
        <v>435</v>
      </c>
      <c r="B436" s="99" t="s">
        <v>1219</v>
      </c>
      <c r="C436" s="99" t="s">
        <v>474</v>
      </c>
      <c r="D436" s="99" t="s">
        <v>475</v>
      </c>
      <c r="E436" s="99" t="s">
        <v>1220</v>
      </c>
      <c r="F436" s="99" t="s">
        <v>115</v>
      </c>
      <c r="G436" s="99" t="s">
        <v>121</v>
      </c>
      <c r="H436" s="100">
        <v>0</v>
      </c>
      <c r="I436" s="100">
        <v>23350.774637054819</v>
      </c>
      <c r="J436" s="100">
        <f t="shared" si="6"/>
        <v>23350.774637054819</v>
      </c>
      <c r="K436" s="100">
        <v>0</v>
      </c>
      <c r="L436" s="100">
        <v>24930.94460192923</v>
      </c>
      <c r="M436" s="100">
        <v>0</v>
      </c>
      <c r="N436" s="100">
        <v>18630.353633778122</v>
      </c>
      <c r="O436" s="100">
        <v>0</v>
      </c>
      <c r="P436" s="100">
        <v>44817.141760899314</v>
      </c>
      <c r="Q436" s="97" t="s">
        <v>737</v>
      </c>
    </row>
    <row r="437" spans="1:17">
      <c r="A437" s="98">
        <v>436</v>
      </c>
      <c r="B437" s="99" t="s">
        <v>1221</v>
      </c>
      <c r="C437" s="99" t="s">
        <v>604</v>
      </c>
      <c r="D437" s="99" t="s">
        <v>605</v>
      </c>
      <c r="E437" s="99" t="s">
        <v>1222</v>
      </c>
      <c r="F437" s="99" t="s">
        <v>115</v>
      </c>
      <c r="G437" s="99" t="s">
        <v>121</v>
      </c>
      <c r="H437" s="100">
        <v>0</v>
      </c>
      <c r="I437" s="100">
        <v>16120.235409135088</v>
      </c>
      <c r="J437" s="100">
        <f t="shared" si="6"/>
        <v>16120.235409135088</v>
      </c>
      <c r="K437" s="100">
        <v>0</v>
      </c>
      <c r="L437" s="100">
        <v>16740.645942204592</v>
      </c>
      <c r="M437" s="100">
        <v>0</v>
      </c>
      <c r="N437" s="100">
        <v>11917.854479000092</v>
      </c>
      <c r="O437" s="100">
        <v>0</v>
      </c>
      <c r="P437" s="100">
        <v>31594.049378363859</v>
      </c>
      <c r="Q437" s="97" t="s">
        <v>738</v>
      </c>
    </row>
    <row r="438" spans="1:17">
      <c r="A438" s="98">
        <v>437</v>
      </c>
      <c r="B438" s="99" t="s">
        <v>1223</v>
      </c>
      <c r="C438" s="99" t="s">
        <v>572</v>
      </c>
      <c r="D438" s="99" t="s">
        <v>573</v>
      </c>
      <c r="E438" s="99" t="s">
        <v>1224</v>
      </c>
      <c r="F438" s="99" t="s">
        <v>115</v>
      </c>
      <c r="G438" s="99" t="s">
        <v>121</v>
      </c>
      <c r="H438" s="100">
        <v>0</v>
      </c>
      <c r="I438" s="100">
        <v>16068.714247189588</v>
      </c>
      <c r="J438" s="100">
        <f t="shared" si="6"/>
        <v>16068.714247189588</v>
      </c>
      <c r="K438" s="100">
        <v>0</v>
      </c>
      <c r="L438" s="100">
        <v>16820.921300921691</v>
      </c>
      <c r="M438" s="100">
        <v>0</v>
      </c>
      <c r="N438" s="100">
        <v>12995.865118416537</v>
      </c>
      <c r="O438" s="100">
        <v>0</v>
      </c>
      <c r="P438" s="100">
        <v>31673.042652635395</v>
      </c>
      <c r="Q438" s="97" t="s">
        <v>738</v>
      </c>
    </row>
    <row r="439" spans="1:17">
      <c r="A439" s="98">
        <v>438</v>
      </c>
      <c r="B439" s="99" t="s">
        <v>1225</v>
      </c>
      <c r="C439" s="99" t="s">
        <v>436</v>
      </c>
      <c r="D439" s="99" t="s">
        <v>437</v>
      </c>
      <c r="E439" s="99" t="s">
        <v>1226</v>
      </c>
      <c r="F439" s="99" t="s">
        <v>115</v>
      </c>
      <c r="G439" s="99" t="s">
        <v>121</v>
      </c>
      <c r="H439" s="100">
        <v>0</v>
      </c>
      <c r="I439" s="100">
        <v>18040.147311384899</v>
      </c>
      <c r="J439" s="100">
        <f t="shared" si="6"/>
        <v>18040.147311384899</v>
      </c>
      <c r="K439" s="100">
        <v>0</v>
      </c>
      <c r="L439" s="100">
        <v>18721.345653847075</v>
      </c>
      <c r="M439" s="100">
        <v>0</v>
      </c>
      <c r="N439" s="100">
        <v>13703.411097220926</v>
      </c>
      <c r="O439" s="100">
        <v>0</v>
      </c>
      <c r="P439" s="100">
        <v>35513.833997192305</v>
      </c>
      <c r="Q439" s="97" t="s">
        <v>738</v>
      </c>
    </row>
    <row r="440" spans="1:17">
      <c r="A440" s="98">
        <v>439</v>
      </c>
      <c r="B440" s="99" t="s">
        <v>1227</v>
      </c>
      <c r="C440" s="99" t="s">
        <v>378</v>
      </c>
      <c r="D440" s="99" t="s">
        <v>379</v>
      </c>
      <c r="E440" s="99" t="s">
        <v>1228</v>
      </c>
      <c r="F440" s="99" t="s">
        <v>120</v>
      </c>
      <c r="G440" s="99" t="s">
        <v>121</v>
      </c>
      <c r="H440" s="100">
        <v>0</v>
      </c>
      <c r="I440" s="100">
        <v>17060.320437935236</v>
      </c>
      <c r="J440" s="100">
        <f t="shared" si="6"/>
        <v>17060.320437935236</v>
      </c>
      <c r="K440" s="100">
        <v>0</v>
      </c>
      <c r="L440" s="100">
        <v>18089.875662530008</v>
      </c>
      <c r="M440" s="100">
        <v>0</v>
      </c>
      <c r="N440" s="100">
        <v>12604.357018776082</v>
      </c>
      <c r="O440" s="100">
        <v>0</v>
      </c>
      <c r="P440" s="100">
        <v>33219.855956747495</v>
      </c>
      <c r="Q440" s="97" t="s">
        <v>737</v>
      </c>
    </row>
    <row r="441" spans="1:17">
      <c r="A441" s="98">
        <v>440</v>
      </c>
      <c r="B441" s="99" t="s">
        <v>1229</v>
      </c>
      <c r="C441" s="99" t="s">
        <v>55</v>
      </c>
      <c r="D441" s="99" t="s">
        <v>56</v>
      </c>
      <c r="E441" s="99" t="s">
        <v>1230</v>
      </c>
      <c r="F441" s="99" t="s">
        <v>115</v>
      </c>
      <c r="G441" s="99" t="s">
        <v>121</v>
      </c>
      <c r="H441" s="100">
        <v>0</v>
      </c>
      <c r="I441" s="100">
        <v>13319.19672101088</v>
      </c>
      <c r="J441" s="100">
        <f t="shared" si="6"/>
        <v>13319.19672101088</v>
      </c>
      <c r="K441" s="100">
        <v>0</v>
      </c>
      <c r="L441" s="100">
        <v>13590.462468392152</v>
      </c>
      <c r="M441" s="100">
        <v>0</v>
      </c>
      <c r="N441" s="100">
        <v>8699.0886054844832</v>
      </c>
      <c r="O441" s="100">
        <v>0</v>
      </c>
      <c r="P441" s="100">
        <v>25664.760161715865</v>
      </c>
      <c r="Q441" s="97" t="s">
        <v>787</v>
      </c>
    </row>
    <row r="442" spans="1:17">
      <c r="A442" s="98">
        <v>441</v>
      </c>
      <c r="B442" s="99" t="s">
        <v>1231</v>
      </c>
      <c r="C442" s="99" t="s">
        <v>474</v>
      </c>
      <c r="D442" s="99" t="s">
        <v>475</v>
      </c>
      <c r="E442" s="99" t="s">
        <v>1232</v>
      </c>
      <c r="F442" s="99" t="s">
        <v>115</v>
      </c>
      <c r="G442" s="99" t="s">
        <v>121</v>
      </c>
      <c r="H442" s="100">
        <v>0</v>
      </c>
      <c r="I442" s="100">
        <v>21359.009410149178</v>
      </c>
      <c r="J442" s="100">
        <f t="shared" si="6"/>
        <v>21359.009410149178</v>
      </c>
      <c r="K442" s="100">
        <v>0</v>
      </c>
      <c r="L442" s="100">
        <v>22939.179375023585</v>
      </c>
      <c r="M442" s="100">
        <v>0</v>
      </c>
      <c r="N442" s="100">
        <v>16638.588406872477</v>
      </c>
      <c r="O442" s="100">
        <v>0</v>
      </c>
      <c r="P442" s="100">
        <v>40994.346760899316</v>
      </c>
      <c r="Q442" s="97" t="s">
        <v>737</v>
      </c>
    </row>
    <row r="443" spans="1:17">
      <c r="A443" s="98">
        <v>442</v>
      </c>
      <c r="B443" s="99" t="s">
        <v>1233</v>
      </c>
      <c r="C443" s="99" t="s">
        <v>574</v>
      </c>
      <c r="D443" s="99" t="s">
        <v>575</v>
      </c>
      <c r="E443" s="99" t="s">
        <v>1234</v>
      </c>
      <c r="F443" s="99" t="s">
        <v>115</v>
      </c>
      <c r="G443" s="99" t="s">
        <v>121</v>
      </c>
      <c r="H443" s="100">
        <v>0</v>
      </c>
      <c r="I443" s="100">
        <v>16391.259405174453</v>
      </c>
      <c r="J443" s="100">
        <f t="shared" si="6"/>
        <v>16391.259405174453</v>
      </c>
      <c r="K443" s="100">
        <v>0</v>
      </c>
      <c r="L443" s="100">
        <v>17334.630835781922</v>
      </c>
      <c r="M443" s="100">
        <v>0</v>
      </c>
      <c r="N443" s="100">
        <v>13165.095373258077</v>
      </c>
      <c r="O443" s="100">
        <v>0</v>
      </c>
      <c r="P443" s="100">
        <v>31797.404120097926</v>
      </c>
      <c r="Q443" s="97" t="s">
        <v>738</v>
      </c>
    </row>
    <row r="444" spans="1:17">
      <c r="A444" s="98">
        <v>443</v>
      </c>
      <c r="B444" s="99" t="s">
        <v>1235</v>
      </c>
      <c r="C444" s="99" t="s">
        <v>378</v>
      </c>
      <c r="D444" s="99" t="s">
        <v>379</v>
      </c>
      <c r="E444" s="99" t="s">
        <v>1236</v>
      </c>
      <c r="F444" s="99" t="s">
        <v>120</v>
      </c>
      <c r="G444" s="99" t="s">
        <v>121</v>
      </c>
      <c r="H444" s="100">
        <v>0</v>
      </c>
      <c r="I444" s="100">
        <v>19419.372875197085</v>
      </c>
      <c r="J444" s="100">
        <f t="shared" si="6"/>
        <v>19419.372875197085</v>
      </c>
      <c r="K444" s="100">
        <v>0</v>
      </c>
      <c r="L444" s="100">
        <v>20579.437654006961</v>
      </c>
      <c r="M444" s="100">
        <v>0</v>
      </c>
      <c r="N444" s="100">
        <v>14339.528523460538</v>
      </c>
      <c r="O444" s="100">
        <v>0</v>
      </c>
      <c r="P444" s="100">
        <v>37813.402862583767</v>
      </c>
      <c r="Q444" s="97" t="s">
        <v>738</v>
      </c>
    </row>
    <row r="445" spans="1:17">
      <c r="A445" s="98">
        <v>444</v>
      </c>
      <c r="B445" s="99" t="s">
        <v>1237</v>
      </c>
      <c r="C445" s="99" t="s">
        <v>662</v>
      </c>
      <c r="D445" s="99" t="s">
        <v>663</v>
      </c>
      <c r="E445" s="99" t="s">
        <v>1238</v>
      </c>
      <c r="F445" s="99" t="s">
        <v>115</v>
      </c>
      <c r="G445" s="99" t="s">
        <v>121</v>
      </c>
      <c r="H445" s="100">
        <v>0</v>
      </c>
      <c r="I445" s="100">
        <v>17126.344697753979</v>
      </c>
      <c r="J445" s="100">
        <f t="shared" si="6"/>
        <v>17126.344697753979</v>
      </c>
      <c r="K445" s="100">
        <v>0</v>
      </c>
      <c r="L445" s="100">
        <v>17604.5644217677</v>
      </c>
      <c r="M445" s="100">
        <v>0</v>
      </c>
      <c r="N445" s="100">
        <v>12202.140804561102</v>
      </c>
      <c r="O445" s="100">
        <v>0</v>
      </c>
      <c r="P445" s="100">
        <v>33613.876738281739</v>
      </c>
      <c r="Q445" s="97" t="s">
        <v>737</v>
      </c>
    </row>
    <row r="446" spans="1:17">
      <c r="A446" s="98">
        <v>445</v>
      </c>
      <c r="B446" s="99" t="s">
        <v>1239</v>
      </c>
      <c r="C446" s="99" t="s">
        <v>612</v>
      </c>
      <c r="D446" s="99" t="s">
        <v>613</v>
      </c>
      <c r="E446" s="99" t="s">
        <v>1240</v>
      </c>
      <c r="F446" s="99" t="s">
        <v>115</v>
      </c>
      <c r="G446" s="99" t="s">
        <v>121</v>
      </c>
      <c r="H446" s="100">
        <v>0</v>
      </c>
      <c r="I446" s="100">
        <v>19784.592463656354</v>
      </c>
      <c r="J446" s="100">
        <f t="shared" si="6"/>
        <v>19784.592463656354</v>
      </c>
      <c r="K446" s="100">
        <v>0</v>
      </c>
      <c r="L446" s="100">
        <v>21129.944916433498</v>
      </c>
      <c r="M446" s="100">
        <v>0</v>
      </c>
      <c r="N446" s="100">
        <v>14895.35515973021</v>
      </c>
      <c r="O446" s="100">
        <v>0</v>
      </c>
      <c r="P446" s="100">
        <v>37013.015581008309</v>
      </c>
      <c r="Q446" s="97" t="s">
        <v>737</v>
      </c>
    </row>
    <row r="447" spans="1:17">
      <c r="A447" s="98">
        <v>446</v>
      </c>
      <c r="B447" s="99" t="s">
        <v>1241</v>
      </c>
      <c r="C447" s="99" t="s">
        <v>546</v>
      </c>
      <c r="D447" s="99" t="s">
        <v>547</v>
      </c>
      <c r="E447" s="99" t="s">
        <v>1242</v>
      </c>
      <c r="F447" s="99" t="s">
        <v>115</v>
      </c>
      <c r="G447" s="99" t="s">
        <v>121</v>
      </c>
      <c r="H447" s="100">
        <v>0</v>
      </c>
      <c r="I447" s="100">
        <v>15866.450180118472</v>
      </c>
      <c r="J447" s="100">
        <f t="shared" si="6"/>
        <v>15866.450180118472</v>
      </c>
      <c r="K447" s="100">
        <v>0</v>
      </c>
      <c r="L447" s="100">
        <v>16407.398468509644</v>
      </c>
      <c r="M447" s="100">
        <v>0</v>
      </c>
      <c r="N447" s="100">
        <v>11714.171386316657</v>
      </c>
      <c r="O447" s="100">
        <v>0</v>
      </c>
      <c r="P447" s="100">
        <v>31174.401313896775</v>
      </c>
      <c r="Q447" s="97" t="s">
        <v>738</v>
      </c>
    </row>
    <row r="448" spans="1:17">
      <c r="A448" s="98">
        <v>447</v>
      </c>
      <c r="B448" s="99" t="s">
        <v>1243</v>
      </c>
      <c r="C448" s="99" t="s">
        <v>474</v>
      </c>
      <c r="D448" s="99" t="s">
        <v>475</v>
      </c>
      <c r="E448" s="99" t="s">
        <v>1244</v>
      </c>
      <c r="F448" s="99" t="s">
        <v>115</v>
      </c>
      <c r="G448" s="99" t="s">
        <v>121</v>
      </c>
      <c r="H448" s="100">
        <v>0</v>
      </c>
      <c r="I448" s="100">
        <v>24015.745536060025</v>
      </c>
      <c r="J448" s="100">
        <f t="shared" si="6"/>
        <v>24015.745536060025</v>
      </c>
      <c r="K448" s="100">
        <v>0</v>
      </c>
      <c r="L448" s="100">
        <v>25611.390361069138</v>
      </c>
      <c r="M448" s="100">
        <v>0</v>
      </c>
      <c r="N448" s="100">
        <v>19384.644779346632</v>
      </c>
      <c r="O448" s="100">
        <v>0</v>
      </c>
      <c r="P448" s="100">
        <v>46093.420407360005</v>
      </c>
      <c r="Q448" s="97" t="s">
        <v>738</v>
      </c>
    </row>
    <row r="449" spans="1:17">
      <c r="A449" s="98">
        <v>448</v>
      </c>
      <c r="B449" s="99" t="s">
        <v>1245</v>
      </c>
      <c r="C449" s="99" t="s">
        <v>348</v>
      </c>
      <c r="D449" s="99" t="s">
        <v>349</v>
      </c>
      <c r="E449" s="99" t="s">
        <v>1246</v>
      </c>
      <c r="F449" s="99" t="s">
        <v>115</v>
      </c>
      <c r="G449" s="99" t="s">
        <v>121</v>
      </c>
      <c r="H449" s="100">
        <v>0</v>
      </c>
      <c r="I449" s="100">
        <v>21048.447403882161</v>
      </c>
      <c r="J449" s="100">
        <f t="shared" si="6"/>
        <v>21048.447403882161</v>
      </c>
      <c r="K449" s="100">
        <v>0</v>
      </c>
      <c r="L449" s="100">
        <v>21669.431536536405</v>
      </c>
      <c r="M449" s="100">
        <v>0</v>
      </c>
      <c r="N449" s="100">
        <v>15270.928887237622</v>
      </c>
      <c r="O449" s="100">
        <v>0</v>
      </c>
      <c r="P449" s="100">
        <v>40926.601132108473</v>
      </c>
      <c r="Q449" s="97" t="s">
        <v>737</v>
      </c>
    </row>
    <row r="450" spans="1:17">
      <c r="A450" s="98">
        <v>449</v>
      </c>
      <c r="B450" s="99" t="s">
        <v>1247</v>
      </c>
      <c r="C450" s="99" t="s">
        <v>534</v>
      </c>
      <c r="D450" s="99" t="s">
        <v>535</v>
      </c>
      <c r="E450" s="99" t="s">
        <v>1248</v>
      </c>
      <c r="F450" s="99" t="s">
        <v>115</v>
      </c>
      <c r="G450" s="99" t="s">
        <v>322</v>
      </c>
      <c r="H450" s="100">
        <v>0</v>
      </c>
      <c r="I450" s="100">
        <v>15060.309142896895</v>
      </c>
      <c r="J450" s="100">
        <f t="shared" si="6"/>
        <v>15060.309142896895</v>
      </c>
      <c r="K450" s="100">
        <v>0</v>
      </c>
      <c r="L450" s="100">
        <v>15336.52257611616</v>
      </c>
      <c r="M450" s="100">
        <v>0</v>
      </c>
      <c r="N450" s="100">
        <v>12274.876288657651</v>
      </c>
      <c r="O450" s="100">
        <v>0</v>
      </c>
      <c r="P450" s="100">
        <v>27823.619935319155</v>
      </c>
      <c r="Q450" s="97" t="s">
        <v>737</v>
      </c>
    </row>
    <row r="451" spans="1:17">
      <c r="A451" s="98">
        <v>450</v>
      </c>
      <c r="B451" s="99" t="s">
        <v>1249</v>
      </c>
      <c r="C451" s="99" t="s">
        <v>474</v>
      </c>
      <c r="D451" s="99" t="s">
        <v>475</v>
      </c>
      <c r="E451" s="99" t="s">
        <v>1250</v>
      </c>
      <c r="F451" s="99" t="s">
        <v>115</v>
      </c>
      <c r="G451" s="99" t="s">
        <v>121</v>
      </c>
      <c r="H451" s="100">
        <v>0</v>
      </c>
      <c r="I451" s="100">
        <v>15962.472752567479</v>
      </c>
      <c r="J451" s="100">
        <f t="shared" ref="J451:J514" si="7">IF(H451=0,I451,AVERAGE(H451:I451))</f>
        <v>15962.472752567479</v>
      </c>
      <c r="K451" s="100">
        <v>0</v>
      </c>
      <c r="L451" s="100">
        <v>17542.642717441886</v>
      </c>
      <c r="M451" s="100">
        <v>0</v>
      </c>
      <c r="N451" s="100">
        <v>11228.830786906869</v>
      </c>
      <c r="O451" s="100">
        <v>0</v>
      </c>
      <c r="P451" s="100">
        <v>30636.773954002765</v>
      </c>
      <c r="Q451" s="97" t="s">
        <v>787</v>
      </c>
    </row>
    <row r="452" spans="1:17">
      <c r="A452" s="98">
        <v>451</v>
      </c>
      <c r="B452" s="99" t="s">
        <v>1251</v>
      </c>
      <c r="C452" s="99" t="s">
        <v>700</v>
      </c>
      <c r="D452" s="99" t="s">
        <v>701</v>
      </c>
      <c r="E452" s="99" t="s">
        <v>1252</v>
      </c>
      <c r="F452" s="99" t="s">
        <v>117</v>
      </c>
      <c r="G452" s="99" t="s">
        <v>121</v>
      </c>
      <c r="H452" s="100">
        <v>0</v>
      </c>
      <c r="I452" s="100">
        <v>12970.131628723791</v>
      </c>
      <c r="J452" s="100">
        <f t="shared" si="7"/>
        <v>12970.131628723791</v>
      </c>
      <c r="K452" s="100">
        <v>0</v>
      </c>
      <c r="L452" s="100">
        <v>12938.571411534997</v>
      </c>
      <c r="M452" s="100">
        <v>0</v>
      </c>
      <c r="N452" s="100">
        <v>9780.0229797698958</v>
      </c>
      <c r="O452" s="100">
        <v>0</v>
      </c>
      <c r="P452" s="100">
        <v>25655.179764248234</v>
      </c>
      <c r="Q452" s="97" t="s">
        <v>738</v>
      </c>
    </row>
    <row r="453" spans="1:17">
      <c r="A453" s="98">
        <v>452</v>
      </c>
      <c r="B453" s="99" t="s">
        <v>1253</v>
      </c>
      <c r="C453" s="99" t="s">
        <v>336</v>
      </c>
      <c r="D453" s="99" t="s">
        <v>337</v>
      </c>
      <c r="E453" s="99" t="s">
        <v>1254</v>
      </c>
      <c r="F453" s="99" t="s">
        <v>115</v>
      </c>
      <c r="G453" s="99" t="s">
        <v>121</v>
      </c>
      <c r="H453" s="100">
        <v>0</v>
      </c>
      <c r="I453" s="100">
        <v>19644.426499705005</v>
      </c>
      <c r="J453" s="100">
        <f t="shared" si="7"/>
        <v>19644.426499705005</v>
      </c>
      <c r="K453" s="100">
        <v>0</v>
      </c>
      <c r="L453" s="100">
        <v>20617.360826758046</v>
      </c>
      <c r="M453" s="100">
        <v>0</v>
      </c>
      <c r="N453" s="100">
        <v>14386.014866991211</v>
      </c>
      <c r="O453" s="100">
        <v>0</v>
      </c>
      <c r="P453" s="100">
        <v>38308.596117074725</v>
      </c>
      <c r="Q453" s="97" t="s">
        <v>738</v>
      </c>
    </row>
    <row r="454" spans="1:17">
      <c r="A454" s="98">
        <v>453</v>
      </c>
      <c r="B454" s="99" t="s">
        <v>1255</v>
      </c>
      <c r="C454" s="99" t="s">
        <v>612</v>
      </c>
      <c r="D454" s="99" t="s">
        <v>613</v>
      </c>
      <c r="E454" s="99" t="s">
        <v>1256</v>
      </c>
      <c r="F454" s="99" t="s">
        <v>115</v>
      </c>
      <c r="G454" s="99" t="s">
        <v>121</v>
      </c>
      <c r="H454" s="100">
        <v>0</v>
      </c>
      <c r="I454" s="100">
        <v>19612.50468703673</v>
      </c>
      <c r="J454" s="100">
        <f t="shared" si="7"/>
        <v>19612.50468703673</v>
      </c>
      <c r="K454" s="100">
        <v>0</v>
      </c>
      <c r="L454" s="100">
        <v>20957.85713981387</v>
      </c>
      <c r="M454" s="100">
        <v>0</v>
      </c>
      <c r="N454" s="100">
        <v>14723.267383110584</v>
      </c>
      <c r="O454" s="100">
        <v>0</v>
      </c>
      <c r="P454" s="100">
        <v>36691.073768508315</v>
      </c>
      <c r="Q454" s="97" t="s">
        <v>737</v>
      </c>
    </row>
    <row r="455" spans="1:17">
      <c r="A455" s="98">
        <v>454</v>
      </c>
      <c r="B455" s="99" t="s">
        <v>1257</v>
      </c>
      <c r="C455" s="99" t="s">
        <v>662</v>
      </c>
      <c r="D455" s="99" t="s">
        <v>663</v>
      </c>
      <c r="E455" s="99" t="s">
        <v>1258</v>
      </c>
      <c r="F455" s="99" t="s">
        <v>115</v>
      </c>
      <c r="G455" s="99" t="s">
        <v>121</v>
      </c>
      <c r="H455" s="100">
        <v>0</v>
      </c>
      <c r="I455" s="100">
        <v>14532.17152102523</v>
      </c>
      <c r="J455" s="100">
        <f t="shared" si="7"/>
        <v>14532.17152102523</v>
      </c>
      <c r="K455" s="100">
        <v>0</v>
      </c>
      <c r="L455" s="100">
        <v>15010.391245038945</v>
      </c>
      <c r="M455" s="100">
        <v>0</v>
      </c>
      <c r="N455" s="100">
        <v>9607.9676278323532</v>
      </c>
      <c r="O455" s="100">
        <v>0</v>
      </c>
      <c r="P455" s="100">
        <v>28522.293044316215</v>
      </c>
      <c r="Q455" s="97" t="s">
        <v>787</v>
      </c>
    </row>
    <row r="456" spans="1:17">
      <c r="A456" s="98">
        <v>455</v>
      </c>
      <c r="B456" s="99" t="s">
        <v>1259</v>
      </c>
      <c r="C456" s="99" t="s">
        <v>336</v>
      </c>
      <c r="D456" s="99" t="s">
        <v>337</v>
      </c>
      <c r="E456" s="99" t="s">
        <v>1260</v>
      </c>
      <c r="F456" s="99" t="s">
        <v>115</v>
      </c>
      <c r="G456" s="99" t="s">
        <v>121</v>
      </c>
      <c r="H456" s="100">
        <v>0</v>
      </c>
      <c r="I456" s="100">
        <v>17754.969331881035</v>
      </c>
      <c r="J456" s="100">
        <f t="shared" si="7"/>
        <v>17754.969331881035</v>
      </c>
      <c r="K456" s="100">
        <v>0</v>
      </c>
      <c r="L456" s="100">
        <v>18540.763773391242</v>
      </c>
      <c r="M456" s="100">
        <v>0</v>
      </c>
      <c r="N456" s="100">
        <v>13339.839621523659</v>
      </c>
      <c r="O456" s="100">
        <v>0</v>
      </c>
      <c r="P456" s="100">
        <v>34623.965694101207</v>
      </c>
      <c r="Q456" s="97" t="s">
        <v>737</v>
      </c>
    </row>
    <row r="457" spans="1:17">
      <c r="A457" s="98">
        <v>456</v>
      </c>
      <c r="B457" s="99" t="s">
        <v>1261</v>
      </c>
      <c r="C457" s="99" t="s">
        <v>664</v>
      </c>
      <c r="D457" s="99" t="s">
        <v>665</v>
      </c>
      <c r="E457" s="99" t="s">
        <v>1262</v>
      </c>
      <c r="F457" s="99" t="s">
        <v>120</v>
      </c>
      <c r="G457" s="99" t="s">
        <v>121</v>
      </c>
      <c r="H457" s="100">
        <v>0</v>
      </c>
      <c r="I457" s="100">
        <v>14304.371859842544</v>
      </c>
      <c r="J457" s="100">
        <f t="shared" si="7"/>
        <v>14304.371859842544</v>
      </c>
      <c r="K457" s="100">
        <v>0</v>
      </c>
      <c r="L457" s="100">
        <v>14718.61439542484</v>
      </c>
      <c r="M457" s="100">
        <v>0</v>
      </c>
      <c r="N457" s="100">
        <v>9519.5211712715409</v>
      </c>
      <c r="O457" s="100">
        <v>0</v>
      </c>
      <c r="P457" s="100">
        <v>28086.634146800836</v>
      </c>
      <c r="Q457" s="97" t="s">
        <v>787</v>
      </c>
    </row>
    <row r="458" spans="1:17">
      <c r="A458" s="98">
        <v>457</v>
      </c>
      <c r="B458" s="99" t="s">
        <v>1263</v>
      </c>
      <c r="C458" s="99" t="s">
        <v>428</v>
      </c>
      <c r="D458" s="99" t="s">
        <v>429</v>
      </c>
      <c r="E458" s="99" t="s">
        <v>1264</v>
      </c>
      <c r="F458" s="99" t="s">
        <v>115</v>
      </c>
      <c r="G458" s="99" t="s">
        <v>121</v>
      </c>
      <c r="H458" s="100">
        <v>0</v>
      </c>
      <c r="I458" s="100">
        <v>16929.888995168316</v>
      </c>
      <c r="J458" s="100">
        <f t="shared" si="7"/>
        <v>16929.888995168316</v>
      </c>
      <c r="K458" s="100">
        <v>0</v>
      </c>
      <c r="L458" s="100">
        <v>18003.280602761221</v>
      </c>
      <c r="M458" s="100">
        <v>0</v>
      </c>
      <c r="N458" s="100">
        <v>12835.226541584476</v>
      </c>
      <c r="O458" s="100">
        <v>0</v>
      </c>
      <c r="P458" s="100">
        <v>32722.089449861316</v>
      </c>
      <c r="Q458" s="97" t="s">
        <v>738</v>
      </c>
    </row>
    <row r="459" spans="1:17">
      <c r="A459" s="98">
        <v>458</v>
      </c>
      <c r="B459" s="99" t="s">
        <v>1265</v>
      </c>
      <c r="C459" s="99" t="s">
        <v>436</v>
      </c>
      <c r="D459" s="99" t="s">
        <v>437</v>
      </c>
      <c r="E459" s="99" t="s">
        <v>1266</v>
      </c>
      <c r="F459" s="99" t="s">
        <v>115</v>
      </c>
      <c r="G459" s="99" t="s">
        <v>121</v>
      </c>
      <c r="H459" s="100">
        <v>0</v>
      </c>
      <c r="I459" s="100">
        <v>16927.173931518362</v>
      </c>
      <c r="J459" s="100">
        <f t="shared" si="7"/>
        <v>16927.173931518362</v>
      </c>
      <c r="K459" s="100">
        <v>0</v>
      </c>
      <c r="L459" s="100">
        <v>17611.285686036659</v>
      </c>
      <c r="M459" s="100">
        <v>0</v>
      </c>
      <c r="N459" s="100">
        <v>12570.470930016878</v>
      </c>
      <c r="O459" s="100">
        <v>0</v>
      </c>
      <c r="P459" s="100">
        <v>33322.834601587041</v>
      </c>
      <c r="Q459" s="97" t="s">
        <v>738</v>
      </c>
    </row>
    <row r="460" spans="1:17">
      <c r="A460" s="98">
        <v>459</v>
      </c>
      <c r="B460" s="99" t="s">
        <v>1267</v>
      </c>
      <c r="C460" s="99" t="s">
        <v>386</v>
      </c>
      <c r="D460" s="99" t="s">
        <v>387</v>
      </c>
      <c r="E460" s="99" t="s">
        <v>1268</v>
      </c>
      <c r="F460" s="99" t="s">
        <v>114</v>
      </c>
      <c r="G460" s="99" t="s">
        <v>322</v>
      </c>
      <c r="H460" s="100">
        <v>0</v>
      </c>
      <c r="I460" s="100">
        <v>22742.729845017646</v>
      </c>
      <c r="J460" s="100">
        <f t="shared" si="7"/>
        <v>22742.729845017646</v>
      </c>
      <c r="K460" s="100">
        <v>0</v>
      </c>
      <c r="L460" s="100">
        <v>23466.120872600088</v>
      </c>
      <c r="M460" s="100">
        <v>0</v>
      </c>
      <c r="N460" s="100">
        <v>17304.402302164322</v>
      </c>
      <c r="O460" s="100">
        <v>0</v>
      </c>
      <c r="P460" s="100">
        <v>44352.871743753414</v>
      </c>
      <c r="Q460" s="97" t="s">
        <v>738</v>
      </c>
    </row>
    <row r="461" spans="1:17">
      <c r="A461" s="98">
        <v>460</v>
      </c>
      <c r="B461" s="99" t="s">
        <v>1269</v>
      </c>
      <c r="C461" s="99" t="s">
        <v>556</v>
      </c>
      <c r="D461" s="99" t="s">
        <v>557</v>
      </c>
      <c r="E461" s="99" t="s">
        <v>1270</v>
      </c>
      <c r="F461" s="99" t="s">
        <v>115</v>
      </c>
      <c r="G461" s="99" t="s">
        <v>121</v>
      </c>
      <c r="H461" s="100">
        <v>0</v>
      </c>
      <c r="I461" s="100">
        <v>20975.359491217347</v>
      </c>
      <c r="J461" s="100">
        <f t="shared" si="7"/>
        <v>20975.359491217347</v>
      </c>
      <c r="K461" s="100">
        <v>0</v>
      </c>
      <c r="L461" s="100">
        <v>21625.150277031778</v>
      </c>
      <c r="M461" s="100">
        <v>0</v>
      </c>
      <c r="N461" s="100">
        <v>15587.640075658519</v>
      </c>
      <c r="O461" s="100">
        <v>0</v>
      </c>
      <c r="P461" s="100">
        <v>41273.214870868374</v>
      </c>
      <c r="Q461" s="97" t="s">
        <v>737</v>
      </c>
    </row>
    <row r="462" spans="1:17">
      <c r="A462" s="98">
        <v>461</v>
      </c>
      <c r="B462" s="99" t="s">
        <v>1271</v>
      </c>
      <c r="C462" s="99" t="s">
        <v>612</v>
      </c>
      <c r="D462" s="99" t="s">
        <v>613</v>
      </c>
      <c r="E462" s="99" t="s">
        <v>1272</v>
      </c>
      <c r="F462" s="99" t="s">
        <v>115</v>
      </c>
      <c r="G462" s="99" t="s">
        <v>121</v>
      </c>
      <c r="H462" s="100">
        <v>0</v>
      </c>
      <c r="I462" s="100">
        <v>19350.901422977971</v>
      </c>
      <c r="J462" s="100">
        <f t="shared" si="7"/>
        <v>19350.901422977971</v>
      </c>
      <c r="K462" s="100">
        <v>0</v>
      </c>
      <c r="L462" s="100">
        <v>20441.469993451999</v>
      </c>
      <c r="M462" s="100">
        <v>0</v>
      </c>
      <c r="N462" s="100">
        <v>15418.906876570185</v>
      </c>
      <c r="O462" s="100">
        <v>0</v>
      </c>
      <c r="P462" s="100">
        <v>36201.666382107192</v>
      </c>
      <c r="Q462" s="97" t="s">
        <v>738</v>
      </c>
    </row>
    <row r="463" spans="1:17">
      <c r="A463" s="98">
        <v>462</v>
      </c>
      <c r="B463" s="99" t="s">
        <v>1273</v>
      </c>
      <c r="C463" s="99" t="s">
        <v>404</v>
      </c>
      <c r="D463" s="99" t="s">
        <v>405</v>
      </c>
      <c r="E463" s="99" t="s">
        <v>1274</v>
      </c>
      <c r="F463" s="99" t="s">
        <v>115</v>
      </c>
      <c r="G463" s="99" t="s">
        <v>121</v>
      </c>
      <c r="H463" s="100">
        <v>0</v>
      </c>
      <c r="I463" s="100">
        <v>19982.806199104398</v>
      </c>
      <c r="J463" s="100">
        <f t="shared" si="7"/>
        <v>19982.806199104398</v>
      </c>
      <c r="K463" s="100">
        <v>0</v>
      </c>
      <c r="L463" s="100">
        <v>20585.575952414001</v>
      </c>
      <c r="M463" s="100">
        <v>0</v>
      </c>
      <c r="N463" s="100">
        <v>15342.021391619077</v>
      </c>
      <c r="O463" s="100">
        <v>0</v>
      </c>
      <c r="P463" s="100">
        <v>39521.994100588679</v>
      </c>
      <c r="Q463" s="97" t="s">
        <v>738</v>
      </c>
    </row>
    <row r="464" spans="1:17">
      <c r="A464" s="98">
        <v>463</v>
      </c>
      <c r="B464" s="99" t="s">
        <v>1275</v>
      </c>
      <c r="C464" s="99" t="s">
        <v>436</v>
      </c>
      <c r="D464" s="99" t="s">
        <v>437</v>
      </c>
      <c r="E464" s="99" t="s">
        <v>1276</v>
      </c>
      <c r="F464" s="99" t="s">
        <v>115</v>
      </c>
      <c r="G464" s="99" t="s">
        <v>121</v>
      </c>
      <c r="H464" s="100">
        <v>0</v>
      </c>
      <c r="I464" s="100">
        <v>18343.908065670974</v>
      </c>
      <c r="J464" s="100">
        <f t="shared" si="7"/>
        <v>18343.908065670974</v>
      </c>
      <c r="K464" s="100">
        <v>0</v>
      </c>
      <c r="L464" s="100">
        <v>19013.19586298351</v>
      </c>
      <c r="M464" s="100">
        <v>0</v>
      </c>
      <c r="N464" s="100">
        <v>14088.128089023994</v>
      </c>
      <c r="O464" s="100">
        <v>0</v>
      </c>
      <c r="P464" s="100">
        <v>36111.817418079874</v>
      </c>
      <c r="Q464" s="97" t="s">
        <v>738</v>
      </c>
    </row>
    <row r="465" spans="1:17">
      <c r="A465" s="98">
        <v>464</v>
      </c>
      <c r="B465" s="99" t="s">
        <v>1277</v>
      </c>
      <c r="C465" s="99" t="s">
        <v>378</v>
      </c>
      <c r="D465" s="99" t="s">
        <v>379</v>
      </c>
      <c r="E465" s="99" t="s">
        <v>1278</v>
      </c>
      <c r="F465" s="99" t="s">
        <v>120</v>
      </c>
      <c r="G465" s="99" t="s">
        <v>121</v>
      </c>
      <c r="H465" s="100">
        <v>0</v>
      </c>
      <c r="I465" s="100">
        <v>31819.565646024126</v>
      </c>
      <c r="J465" s="100">
        <f t="shared" si="7"/>
        <v>31819.565646024126</v>
      </c>
      <c r="K465" s="100">
        <v>0</v>
      </c>
      <c r="L465" s="100">
        <v>33187.574257395245</v>
      </c>
      <c r="M465" s="100">
        <v>0</v>
      </c>
      <c r="N465" s="100">
        <v>25745.67765539659</v>
      </c>
      <c r="O465" s="100">
        <v>0</v>
      </c>
      <c r="P465" s="100">
        <v>61959.058225938184</v>
      </c>
      <c r="Q465" s="97" t="s">
        <v>738</v>
      </c>
    </row>
    <row r="466" spans="1:17">
      <c r="A466" s="98">
        <v>465</v>
      </c>
      <c r="B466" s="99" t="s">
        <v>1279</v>
      </c>
      <c r="C466" s="99" t="s">
        <v>406</v>
      </c>
      <c r="D466" s="99" t="s">
        <v>407</v>
      </c>
      <c r="E466" s="99" t="s">
        <v>1280</v>
      </c>
      <c r="F466" s="99" t="s">
        <v>115</v>
      </c>
      <c r="G466" s="99" t="s">
        <v>121</v>
      </c>
      <c r="H466" s="100">
        <v>0</v>
      </c>
      <c r="I466" s="100">
        <v>24680.259874796157</v>
      </c>
      <c r="J466" s="100">
        <f t="shared" si="7"/>
        <v>24680.259874796157</v>
      </c>
      <c r="K466" s="100">
        <v>0</v>
      </c>
      <c r="L466" s="100">
        <v>25464.255484574209</v>
      </c>
      <c r="M466" s="100">
        <v>0</v>
      </c>
      <c r="N466" s="100">
        <v>15674.185535902794</v>
      </c>
      <c r="O466" s="100">
        <v>0</v>
      </c>
      <c r="P466" s="100">
        <v>48267.184237138848</v>
      </c>
      <c r="Q466" s="97" t="s">
        <v>737</v>
      </c>
    </row>
    <row r="467" spans="1:17">
      <c r="A467" s="98">
        <v>466</v>
      </c>
      <c r="B467" s="99" t="s">
        <v>1281</v>
      </c>
      <c r="C467" s="99" t="s">
        <v>436</v>
      </c>
      <c r="D467" s="99" t="s">
        <v>437</v>
      </c>
      <c r="E467" s="99" t="s">
        <v>1282</v>
      </c>
      <c r="F467" s="99" t="s">
        <v>115</v>
      </c>
      <c r="G467" s="99" t="s">
        <v>121</v>
      </c>
      <c r="H467" s="100">
        <v>0</v>
      </c>
      <c r="I467" s="100">
        <v>18465.339109055698</v>
      </c>
      <c r="J467" s="100">
        <f t="shared" si="7"/>
        <v>18465.339109055698</v>
      </c>
      <c r="K467" s="100">
        <v>0</v>
      </c>
      <c r="L467" s="100">
        <v>19131.181043143231</v>
      </c>
      <c r="M467" s="100">
        <v>0</v>
      </c>
      <c r="N467" s="100">
        <v>14233.846552286508</v>
      </c>
      <c r="O467" s="100">
        <v>0</v>
      </c>
      <c r="P467" s="100">
        <v>36350.866570087048</v>
      </c>
      <c r="Q467" s="97" t="s">
        <v>738</v>
      </c>
    </row>
    <row r="468" spans="1:17">
      <c r="A468" s="98">
        <v>467</v>
      </c>
      <c r="B468" s="99" t="s">
        <v>1283</v>
      </c>
      <c r="C468" s="99" t="s">
        <v>474</v>
      </c>
      <c r="D468" s="99" t="s">
        <v>475</v>
      </c>
      <c r="E468" s="99" t="s">
        <v>1284</v>
      </c>
      <c r="F468" s="99" t="s">
        <v>115</v>
      </c>
      <c r="G468" s="99" t="s">
        <v>121</v>
      </c>
      <c r="H468" s="100">
        <v>0</v>
      </c>
      <c r="I468" s="100">
        <v>24515.944222949107</v>
      </c>
      <c r="J468" s="100">
        <f t="shared" si="7"/>
        <v>24515.944222949107</v>
      </c>
      <c r="K468" s="100">
        <v>0</v>
      </c>
      <c r="L468" s="100">
        <v>26096.11418782351</v>
      </c>
      <c r="M468" s="100">
        <v>0</v>
      </c>
      <c r="N468" s="100">
        <v>19782.302257288491</v>
      </c>
      <c r="O468" s="100">
        <v>0</v>
      </c>
      <c r="P468" s="100">
        <v>47053.451747106214</v>
      </c>
      <c r="Q468" s="97" t="s">
        <v>737</v>
      </c>
    </row>
    <row r="469" spans="1:17">
      <c r="A469" s="98">
        <v>468</v>
      </c>
      <c r="B469" s="99" t="s">
        <v>1285</v>
      </c>
      <c r="C469" s="99" t="s">
        <v>436</v>
      </c>
      <c r="D469" s="99" t="s">
        <v>437</v>
      </c>
      <c r="E469" s="99" t="s">
        <v>1286</v>
      </c>
      <c r="F469" s="99" t="s">
        <v>115</v>
      </c>
      <c r="G469" s="99" t="s">
        <v>121</v>
      </c>
      <c r="H469" s="100">
        <v>0</v>
      </c>
      <c r="I469" s="100">
        <v>19065.125760264244</v>
      </c>
      <c r="J469" s="100">
        <f t="shared" si="7"/>
        <v>19065.125760264244</v>
      </c>
      <c r="K469" s="100">
        <v>0</v>
      </c>
      <c r="L469" s="100">
        <v>19755.555169891435</v>
      </c>
      <c r="M469" s="100">
        <v>0</v>
      </c>
      <c r="N469" s="100">
        <v>14664.453791366564</v>
      </c>
      <c r="O469" s="100">
        <v>0</v>
      </c>
      <c r="P469" s="100">
        <v>37531.606571656186</v>
      </c>
      <c r="Q469" s="97" t="s">
        <v>738</v>
      </c>
    </row>
    <row r="470" spans="1:17">
      <c r="A470" s="98">
        <v>469</v>
      </c>
      <c r="B470" s="99" t="s">
        <v>1287</v>
      </c>
      <c r="C470" s="99" t="s">
        <v>662</v>
      </c>
      <c r="D470" s="99" t="s">
        <v>663</v>
      </c>
      <c r="E470" s="99" t="s">
        <v>1288</v>
      </c>
      <c r="F470" s="99" t="s">
        <v>115</v>
      </c>
      <c r="G470" s="99" t="s">
        <v>121</v>
      </c>
      <c r="H470" s="100">
        <v>0</v>
      </c>
      <c r="I470" s="100">
        <v>21265.92569586882</v>
      </c>
      <c r="J470" s="100">
        <f t="shared" si="7"/>
        <v>21265.92569586882</v>
      </c>
      <c r="K470" s="100">
        <v>0</v>
      </c>
      <c r="L470" s="100">
        <v>21744.145419882541</v>
      </c>
      <c r="M470" s="100">
        <v>0</v>
      </c>
      <c r="N470" s="100">
        <v>16341.72180267594</v>
      </c>
      <c r="O470" s="100">
        <v>0</v>
      </c>
      <c r="P470" s="100">
        <v>41738.632363281729</v>
      </c>
      <c r="Q470" s="97" t="s">
        <v>737</v>
      </c>
    </row>
    <row r="471" spans="1:17">
      <c r="A471" s="98">
        <v>470</v>
      </c>
      <c r="B471" s="99" t="s">
        <v>1289</v>
      </c>
      <c r="C471" s="99" t="s">
        <v>640</v>
      </c>
      <c r="D471" s="99" t="s">
        <v>641</v>
      </c>
      <c r="E471" s="99" t="s">
        <v>1290</v>
      </c>
      <c r="F471" s="99" t="s">
        <v>114</v>
      </c>
      <c r="G471" s="99" t="s">
        <v>322</v>
      </c>
      <c r="H471" s="100">
        <v>0</v>
      </c>
      <c r="I471" s="100">
        <v>13679.177928558995</v>
      </c>
      <c r="J471" s="100">
        <f t="shared" si="7"/>
        <v>13679.177928558995</v>
      </c>
      <c r="K471" s="100">
        <v>0</v>
      </c>
      <c r="L471" s="100">
        <v>14471.034587355443</v>
      </c>
      <c r="M471" s="100">
        <v>0</v>
      </c>
      <c r="N471" s="100">
        <v>10550.159392864412</v>
      </c>
      <c r="O471" s="100">
        <v>0</v>
      </c>
      <c r="P471" s="100">
        <v>27229.77158458954</v>
      </c>
      <c r="Q471" s="97" t="s">
        <v>737</v>
      </c>
    </row>
    <row r="472" spans="1:17">
      <c r="A472" s="98">
        <v>471</v>
      </c>
      <c r="B472" s="99" t="s">
        <v>1291</v>
      </c>
      <c r="C472" s="99" t="s">
        <v>378</v>
      </c>
      <c r="D472" s="99" t="s">
        <v>379</v>
      </c>
      <c r="E472" s="99" t="s">
        <v>1292</v>
      </c>
      <c r="F472" s="99" t="s">
        <v>120</v>
      </c>
      <c r="G472" s="99" t="s">
        <v>121</v>
      </c>
      <c r="H472" s="100">
        <v>0</v>
      </c>
      <c r="I472" s="100">
        <v>17099.747722603919</v>
      </c>
      <c r="J472" s="100">
        <f t="shared" si="7"/>
        <v>17099.747722603919</v>
      </c>
      <c r="K472" s="100">
        <v>0</v>
      </c>
      <c r="L472" s="100">
        <v>18205.947731826094</v>
      </c>
      <c r="M472" s="100">
        <v>0</v>
      </c>
      <c r="N472" s="100">
        <v>12277.395650919569</v>
      </c>
      <c r="O472" s="100">
        <v>0</v>
      </c>
      <c r="P472" s="100">
        <v>33296.628765454356</v>
      </c>
      <c r="Q472" s="97" t="s">
        <v>738</v>
      </c>
    </row>
    <row r="473" spans="1:17">
      <c r="A473" s="98">
        <v>472</v>
      </c>
      <c r="B473" s="99" t="s">
        <v>1293</v>
      </c>
      <c r="C473" s="99" t="s">
        <v>428</v>
      </c>
      <c r="D473" s="99" t="s">
        <v>429</v>
      </c>
      <c r="E473" s="99" t="s">
        <v>1294</v>
      </c>
      <c r="F473" s="99" t="s">
        <v>115</v>
      </c>
      <c r="G473" s="99" t="s">
        <v>121</v>
      </c>
      <c r="H473" s="100">
        <v>0</v>
      </c>
      <c r="I473" s="100">
        <v>17531.790365699551</v>
      </c>
      <c r="J473" s="100">
        <f t="shared" si="7"/>
        <v>17531.790365699551</v>
      </c>
      <c r="K473" s="100">
        <v>0</v>
      </c>
      <c r="L473" s="100">
        <v>18742.040378018373</v>
      </c>
      <c r="M473" s="100">
        <v>0</v>
      </c>
      <c r="N473" s="100">
        <v>12873.346019609964</v>
      </c>
      <c r="O473" s="100">
        <v>0</v>
      </c>
      <c r="P473" s="100">
        <v>33885.444418824089</v>
      </c>
      <c r="Q473" s="97" t="s">
        <v>738</v>
      </c>
    </row>
    <row r="474" spans="1:17">
      <c r="A474" s="98">
        <v>473</v>
      </c>
      <c r="B474" s="99" t="s">
        <v>1295</v>
      </c>
      <c r="C474" s="99" t="s">
        <v>378</v>
      </c>
      <c r="D474" s="99" t="s">
        <v>379</v>
      </c>
      <c r="E474" s="99" t="s">
        <v>1296</v>
      </c>
      <c r="F474" s="99" t="s">
        <v>120</v>
      </c>
      <c r="G474" s="99" t="s">
        <v>121</v>
      </c>
      <c r="H474" s="100">
        <v>0</v>
      </c>
      <c r="I474" s="100">
        <v>21107.764784969673</v>
      </c>
      <c r="J474" s="100">
        <f t="shared" si="7"/>
        <v>21107.764784969673</v>
      </c>
      <c r="K474" s="100">
        <v>0</v>
      </c>
      <c r="L474" s="100">
        <v>22219.590703393111</v>
      </c>
      <c r="M474" s="100">
        <v>0</v>
      </c>
      <c r="N474" s="100">
        <v>15934.7085730944</v>
      </c>
      <c r="O474" s="100">
        <v>0</v>
      </c>
      <c r="P474" s="100">
        <v>41101.039589292952</v>
      </c>
      <c r="Q474" s="97" t="s">
        <v>738</v>
      </c>
    </row>
    <row r="475" spans="1:17">
      <c r="A475" s="98">
        <v>474</v>
      </c>
      <c r="B475" s="99" t="s">
        <v>1297</v>
      </c>
      <c r="C475" s="99" t="s">
        <v>662</v>
      </c>
      <c r="D475" s="99" t="s">
        <v>663</v>
      </c>
      <c r="E475" s="99" t="s">
        <v>1298</v>
      </c>
      <c r="F475" s="99" t="s">
        <v>115</v>
      </c>
      <c r="G475" s="99" t="s">
        <v>121</v>
      </c>
      <c r="H475" s="100">
        <v>0</v>
      </c>
      <c r="I475" s="100">
        <v>22562.010368548788</v>
      </c>
      <c r="J475" s="100">
        <f t="shared" si="7"/>
        <v>22562.010368548788</v>
      </c>
      <c r="K475" s="100">
        <v>0</v>
      </c>
      <c r="L475" s="100">
        <v>23040.230092562506</v>
      </c>
      <c r="M475" s="100">
        <v>0</v>
      </c>
      <c r="N475" s="100">
        <v>17600.340449710377</v>
      </c>
      <c r="O475" s="100">
        <v>0</v>
      </c>
      <c r="P475" s="100">
        <v>44282.45775035071</v>
      </c>
      <c r="Q475" s="97" t="s">
        <v>737</v>
      </c>
    </row>
    <row r="476" spans="1:17">
      <c r="A476" s="98">
        <v>475</v>
      </c>
      <c r="B476" s="99" t="s">
        <v>1299</v>
      </c>
      <c r="C476" s="99" t="s">
        <v>436</v>
      </c>
      <c r="D476" s="99" t="s">
        <v>437</v>
      </c>
      <c r="E476" s="99" t="s">
        <v>1300</v>
      </c>
      <c r="F476" s="99" t="s">
        <v>115</v>
      </c>
      <c r="G476" s="99" t="s">
        <v>121</v>
      </c>
      <c r="H476" s="100">
        <v>0</v>
      </c>
      <c r="I476" s="100">
        <v>19757.339153553359</v>
      </c>
      <c r="J476" s="100">
        <f t="shared" si="7"/>
        <v>19757.339153553359</v>
      </c>
      <c r="K476" s="100">
        <v>0</v>
      </c>
      <c r="L476" s="100">
        <v>20410.050640891397</v>
      </c>
      <c r="M476" s="100">
        <v>0</v>
      </c>
      <c r="N476" s="100">
        <v>15615.16331175776</v>
      </c>
      <c r="O476" s="100">
        <v>0</v>
      </c>
      <c r="P476" s="100">
        <v>38894.297857685138</v>
      </c>
      <c r="Q476" s="97" t="s">
        <v>738</v>
      </c>
    </row>
    <row r="477" spans="1:17">
      <c r="A477" s="98">
        <v>476</v>
      </c>
      <c r="B477" s="99" t="s">
        <v>1301</v>
      </c>
      <c r="C477" s="99" t="s">
        <v>556</v>
      </c>
      <c r="D477" s="99" t="s">
        <v>557</v>
      </c>
      <c r="E477" s="99" t="s">
        <v>1302</v>
      </c>
      <c r="F477" s="99" t="s">
        <v>115</v>
      </c>
      <c r="G477" s="99" t="s">
        <v>121</v>
      </c>
      <c r="H477" s="100">
        <v>0</v>
      </c>
      <c r="I477" s="100">
        <v>23078.714516621239</v>
      </c>
      <c r="J477" s="100">
        <f t="shared" si="7"/>
        <v>23078.714516621239</v>
      </c>
      <c r="K477" s="100">
        <v>0</v>
      </c>
      <c r="L477" s="100">
        <v>23828.930024655969</v>
      </c>
      <c r="M477" s="100">
        <v>0</v>
      </c>
      <c r="N477" s="100">
        <v>16800.386380319207</v>
      </c>
      <c r="O477" s="100">
        <v>0</v>
      </c>
      <c r="P477" s="100">
        <v>45411.986554355608</v>
      </c>
      <c r="Q477" s="97" t="s">
        <v>738</v>
      </c>
    </row>
    <row r="478" spans="1:17">
      <c r="A478" s="98">
        <v>477</v>
      </c>
      <c r="B478" s="99" t="s">
        <v>1303</v>
      </c>
      <c r="C478" s="99" t="s">
        <v>574</v>
      </c>
      <c r="D478" s="99" t="s">
        <v>575</v>
      </c>
      <c r="E478" s="99" t="s">
        <v>1304</v>
      </c>
      <c r="F478" s="99" t="s">
        <v>115</v>
      </c>
      <c r="G478" s="99" t="s">
        <v>121</v>
      </c>
      <c r="H478" s="100">
        <v>0</v>
      </c>
      <c r="I478" s="100">
        <v>14592.917976732188</v>
      </c>
      <c r="J478" s="100">
        <f t="shared" si="7"/>
        <v>14592.917976732188</v>
      </c>
      <c r="K478" s="100">
        <v>0</v>
      </c>
      <c r="L478" s="100">
        <v>15909.992604577916</v>
      </c>
      <c r="M478" s="100">
        <v>0</v>
      </c>
      <c r="N478" s="100">
        <v>10183.791442102423</v>
      </c>
      <c r="O478" s="100">
        <v>0</v>
      </c>
      <c r="P478" s="100">
        <v>28308.80158306277</v>
      </c>
      <c r="Q478" s="97" t="s">
        <v>787</v>
      </c>
    </row>
    <row r="479" spans="1:17">
      <c r="A479" s="98">
        <v>478</v>
      </c>
      <c r="B479" s="99" t="s">
        <v>1305</v>
      </c>
      <c r="C479" s="99" t="s">
        <v>556</v>
      </c>
      <c r="D479" s="99" t="s">
        <v>557</v>
      </c>
      <c r="E479" s="99" t="s">
        <v>1306</v>
      </c>
      <c r="F479" s="99" t="s">
        <v>115</v>
      </c>
      <c r="G479" s="99" t="s">
        <v>121</v>
      </c>
      <c r="H479" s="100">
        <v>0</v>
      </c>
      <c r="I479" s="100">
        <v>17512.473494390109</v>
      </c>
      <c r="J479" s="100">
        <f t="shared" si="7"/>
        <v>17512.473494390109</v>
      </c>
      <c r="K479" s="100">
        <v>0</v>
      </c>
      <c r="L479" s="100">
        <v>18282.070920562415</v>
      </c>
      <c r="M479" s="100">
        <v>0</v>
      </c>
      <c r="N479" s="100">
        <v>11087.194155078656</v>
      </c>
      <c r="O479" s="100">
        <v>0</v>
      </c>
      <c r="P479" s="100">
        <v>34459.294094911413</v>
      </c>
      <c r="Q479" s="97" t="s">
        <v>737</v>
      </c>
    </row>
    <row r="480" spans="1:17">
      <c r="A480" s="98">
        <v>479</v>
      </c>
      <c r="B480" s="99" t="s">
        <v>1307</v>
      </c>
      <c r="C480" s="99" t="s">
        <v>662</v>
      </c>
      <c r="D480" s="99" t="s">
        <v>663</v>
      </c>
      <c r="E480" s="99" t="s">
        <v>1308</v>
      </c>
      <c r="F480" s="99" t="s">
        <v>115</v>
      </c>
      <c r="G480" s="99" t="s">
        <v>121</v>
      </c>
      <c r="H480" s="100">
        <v>0</v>
      </c>
      <c r="I480" s="100">
        <v>20961.579233729499</v>
      </c>
      <c r="J480" s="100">
        <f t="shared" si="7"/>
        <v>20961.579233729499</v>
      </c>
      <c r="K480" s="100">
        <v>0</v>
      </c>
      <c r="L480" s="100">
        <v>21369.045613449456</v>
      </c>
      <c r="M480" s="100">
        <v>0</v>
      </c>
      <c r="N480" s="100">
        <v>16819.071927493005</v>
      </c>
      <c r="O480" s="100">
        <v>0</v>
      </c>
      <c r="P480" s="100">
        <v>41141.291562040882</v>
      </c>
      <c r="Q480" s="97" t="s">
        <v>738</v>
      </c>
    </row>
    <row r="481" spans="1:17">
      <c r="A481" s="98">
        <v>480</v>
      </c>
      <c r="B481" s="99" t="s">
        <v>1309</v>
      </c>
      <c r="C481" s="99" t="s">
        <v>628</v>
      </c>
      <c r="D481" s="99" t="s">
        <v>629</v>
      </c>
      <c r="E481" s="99" t="s">
        <v>1310</v>
      </c>
      <c r="F481" s="99" t="s">
        <v>115</v>
      </c>
      <c r="G481" s="99" t="s">
        <v>121</v>
      </c>
      <c r="H481" s="100">
        <v>0</v>
      </c>
      <c r="I481" s="100">
        <v>28471.631731544989</v>
      </c>
      <c r="J481" s="100">
        <f t="shared" si="7"/>
        <v>28471.631731544989</v>
      </c>
      <c r="K481" s="100">
        <v>0</v>
      </c>
      <c r="L481" s="100">
        <v>28900.322328475304</v>
      </c>
      <c r="M481" s="100">
        <v>0</v>
      </c>
      <c r="N481" s="100">
        <v>21268.05581054524</v>
      </c>
      <c r="O481" s="100">
        <v>0</v>
      </c>
      <c r="P481" s="100">
        <v>54839.2098781288</v>
      </c>
      <c r="Q481" s="97" t="s">
        <v>738</v>
      </c>
    </row>
    <row r="482" spans="1:17">
      <c r="A482" s="98">
        <v>481</v>
      </c>
      <c r="B482" s="99" t="s">
        <v>1311</v>
      </c>
      <c r="C482" s="99" t="s">
        <v>334</v>
      </c>
      <c r="D482" s="99" t="s">
        <v>335</v>
      </c>
      <c r="E482" s="99" t="s">
        <v>1312</v>
      </c>
      <c r="F482" s="99" t="s">
        <v>114</v>
      </c>
      <c r="G482" s="99" t="s">
        <v>121</v>
      </c>
      <c r="H482" s="100">
        <v>0</v>
      </c>
      <c r="I482" s="100">
        <v>25742.647984841355</v>
      </c>
      <c r="J482" s="100">
        <f t="shared" si="7"/>
        <v>25742.647984841355</v>
      </c>
      <c r="K482" s="100">
        <v>0</v>
      </c>
      <c r="L482" s="100">
        <v>26263.606465664176</v>
      </c>
      <c r="M482" s="100">
        <v>0</v>
      </c>
      <c r="N482" s="100">
        <v>19433.58477890354</v>
      </c>
      <c r="O482" s="100">
        <v>0</v>
      </c>
      <c r="P482" s="100">
        <v>50532.817994243582</v>
      </c>
      <c r="Q482" s="97" t="s">
        <v>738</v>
      </c>
    </row>
    <row r="483" spans="1:17">
      <c r="A483" s="98">
        <v>482</v>
      </c>
      <c r="B483" s="99" t="s">
        <v>1313</v>
      </c>
      <c r="C483" s="99" t="s">
        <v>336</v>
      </c>
      <c r="D483" s="99" t="s">
        <v>337</v>
      </c>
      <c r="E483" s="99" t="s">
        <v>1314</v>
      </c>
      <c r="F483" s="99" t="s">
        <v>115</v>
      </c>
      <c r="G483" s="99" t="s">
        <v>121</v>
      </c>
      <c r="H483" s="100">
        <v>0</v>
      </c>
      <c r="I483" s="100">
        <v>20084.876465194538</v>
      </c>
      <c r="J483" s="100">
        <f t="shared" si="7"/>
        <v>20084.876465194538</v>
      </c>
      <c r="K483" s="100">
        <v>0</v>
      </c>
      <c r="L483" s="100">
        <v>20870.670906704752</v>
      </c>
      <c r="M483" s="100">
        <v>0</v>
      </c>
      <c r="N483" s="100">
        <v>15651.332635432838</v>
      </c>
      <c r="O483" s="100">
        <v>0</v>
      </c>
      <c r="P483" s="100">
        <v>39167.517594775869</v>
      </c>
      <c r="Q483" s="97" t="s">
        <v>737</v>
      </c>
    </row>
    <row r="484" spans="1:17">
      <c r="A484" s="98">
        <v>483</v>
      </c>
      <c r="B484" s="99" t="s">
        <v>1315</v>
      </c>
      <c r="C484" s="99" t="s">
        <v>612</v>
      </c>
      <c r="D484" s="99" t="s">
        <v>613</v>
      </c>
      <c r="E484" s="99" t="s">
        <v>1316</v>
      </c>
      <c r="F484" s="99" t="s">
        <v>115</v>
      </c>
      <c r="G484" s="99" t="s">
        <v>121</v>
      </c>
      <c r="H484" s="100">
        <v>0</v>
      </c>
      <c r="I484" s="100">
        <v>21775.226515727529</v>
      </c>
      <c r="J484" s="100">
        <f t="shared" si="7"/>
        <v>21775.226515727529</v>
      </c>
      <c r="K484" s="100">
        <v>0</v>
      </c>
      <c r="L484" s="100">
        <v>23036.851341204296</v>
      </c>
      <c r="M484" s="100">
        <v>0</v>
      </c>
      <c r="N484" s="100">
        <v>17408.118882296341</v>
      </c>
      <c r="O484" s="100">
        <v>0</v>
      </c>
      <c r="P484" s="100">
        <v>40737.093765623067</v>
      </c>
      <c r="Q484" s="97" t="s">
        <v>738</v>
      </c>
    </row>
    <row r="485" spans="1:17">
      <c r="A485" s="98">
        <v>484</v>
      </c>
      <c r="B485" s="99" t="s">
        <v>1317</v>
      </c>
      <c r="C485" s="99" t="s">
        <v>402</v>
      </c>
      <c r="D485" s="99" t="s">
        <v>403</v>
      </c>
      <c r="E485" s="99" t="s">
        <v>1318</v>
      </c>
      <c r="F485" s="99" t="s">
        <v>115</v>
      </c>
      <c r="G485" s="99" t="s">
        <v>121</v>
      </c>
      <c r="H485" s="100">
        <v>0</v>
      </c>
      <c r="I485" s="100">
        <v>16276.437082064331</v>
      </c>
      <c r="J485" s="100">
        <f t="shared" si="7"/>
        <v>16276.437082064331</v>
      </c>
      <c r="K485" s="100">
        <v>0</v>
      </c>
      <c r="L485" s="100">
        <v>17890.202883788006</v>
      </c>
      <c r="M485" s="100">
        <v>0</v>
      </c>
      <c r="N485" s="100">
        <v>11451.299793374717</v>
      </c>
      <c r="O485" s="100">
        <v>0</v>
      </c>
      <c r="P485" s="100">
        <v>31449.331729964699</v>
      </c>
      <c r="Q485" s="97" t="s">
        <v>787</v>
      </c>
    </row>
    <row r="486" spans="1:17">
      <c r="A486" s="98">
        <v>485</v>
      </c>
      <c r="B486" s="99" t="s">
        <v>1319</v>
      </c>
      <c r="C486" s="99" t="s">
        <v>1320</v>
      </c>
      <c r="D486" s="99" t="s">
        <v>489</v>
      </c>
      <c r="E486" s="99" t="s">
        <v>1321</v>
      </c>
      <c r="F486" s="99" t="s">
        <v>114</v>
      </c>
      <c r="G486" s="99" t="s">
        <v>121</v>
      </c>
      <c r="H486" s="100">
        <v>0</v>
      </c>
      <c r="I486" s="100">
        <v>23224.012368387892</v>
      </c>
      <c r="J486" s="100">
        <f t="shared" si="7"/>
        <v>23224.012368387892</v>
      </c>
      <c r="K486" s="100">
        <v>0</v>
      </c>
      <c r="L486" s="100">
        <v>25974.957388037834</v>
      </c>
      <c r="M486" s="100">
        <v>0</v>
      </c>
      <c r="N486" s="100">
        <v>17924.69682557799</v>
      </c>
      <c r="O486" s="100">
        <v>0</v>
      </c>
      <c r="P486" s="100">
        <v>45783.817983039895</v>
      </c>
      <c r="Q486" s="97" t="s">
        <v>738</v>
      </c>
    </row>
    <row r="487" spans="1:17">
      <c r="A487" s="98">
        <v>486</v>
      </c>
      <c r="B487" s="99" t="s">
        <v>1322</v>
      </c>
      <c r="C487" s="99" t="s">
        <v>574</v>
      </c>
      <c r="D487" s="99" t="s">
        <v>575</v>
      </c>
      <c r="E487" s="99" t="s">
        <v>1323</v>
      </c>
      <c r="F487" s="99" t="s">
        <v>115</v>
      </c>
      <c r="G487" s="99" t="s">
        <v>121</v>
      </c>
      <c r="H487" s="100">
        <v>0</v>
      </c>
      <c r="I487" s="100">
        <v>21895.13780403608</v>
      </c>
      <c r="J487" s="100">
        <f t="shared" si="7"/>
        <v>21895.13780403608</v>
      </c>
      <c r="K487" s="100">
        <v>0</v>
      </c>
      <c r="L487" s="100">
        <v>23174.971973641255</v>
      </c>
      <c r="M487" s="100">
        <v>0</v>
      </c>
      <c r="N487" s="100">
        <v>17951.740732984519</v>
      </c>
      <c r="O487" s="100">
        <v>0</v>
      </c>
      <c r="P487" s="100">
        <v>42474.377826049589</v>
      </c>
      <c r="Q487" s="97" t="s">
        <v>738</v>
      </c>
    </row>
    <row r="488" spans="1:17">
      <c r="A488" s="98">
        <v>487</v>
      </c>
      <c r="B488" s="99" t="s">
        <v>1324</v>
      </c>
      <c r="C488" s="99" t="s">
        <v>348</v>
      </c>
      <c r="D488" s="99" t="s">
        <v>349</v>
      </c>
      <c r="E488" s="99" t="s">
        <v>1325</v>
      </c>
      <c r="F488" s="99" t="s">
        <v>115</v>
      </c>
      <c r="G488" s="99" t="s">
        <v>121</v>
      </c>
      <c r="H488" s="100">
        <v>0</v>
      </c>
      <c r="I488" s="100">
        <v>25276.586494183986</v>
      </c>
      <c r="J488" s="100">
        <f t="shared" si="7"/>
        <v>25276.586494183986</v>
      </c>
      <c r="K488" s="100">
        <v>0</v>
      </c>
      <c r="L488" s="100">
        <v>25950.463151666918</v>
      </c>
      <c r="M488" s="100">
        <v>0</v>
      </c>
      <c r="N488" s="100">
        <v>18942.073076870332</v>
      </c>
      <c r="O488" s="100">
        <v>0</v>
      </c>
      <c r="P488" s="100">
        <v>49147.794779291347</v>
      </c>
      <c r="Q488" s="97" t="s">
        <v>738</v>
      </c>
    </row>
    <row r="489" spans="1:17">
      <c r="A489" s="98">
        <v>488</v>
      </c>
      <c r="B489" s="99" t="s">
        <v>1326</v>
      </c>
      <c r="C489" s="99" t="s">
        <v>546</v>
      </c>
      <c r="D489" s="99" t="s">
        <v>547</v>
      </c>
      <c r="E489" s="99" t="s">
        <v>1327</v>
      </c>
      <c r="F489" s="99" t="s">
        <v>115</v>
      </c>
      <c r="G489" s="99" t="s">
        <v>121</v>
      </c>
      <c r="H489" s="100">
        <v>0</v>
      </c>
      <c r="I489" s="100">
        <v>18745.418791395299</v>
      </c>
      <c r="J489" s="100">
        <f t="shared" si="7"/>
        <v>18745.418791395299</v>
      </c>
      <c r="K489" s="100">
        <v>0</v>
      </c>
      <c r="L489" s="100">
        <v>19248.298993235949</v>
      </c>
      <c r="M489" s="100">
        <v>0</v>
      </c>
      <c r="N489" s="100">
        <v>14805.243157452614</v>
      </c>
      <c r="O489" s="100">
        <v>0</v>
      </c>
      <c r="P489" s="100">
        <v>36830.99884133348</v>
      </c>
      <c r="Q489" s="97" t="s">
        <v>738</v>
      </c>
    </row>
    <row r="490" spans="1:17">
      <c r="A490" s="98">
        <v>489</v>
      </c>
      <c r="B490" s="99" t="s">
        <v>1328</v>
      </c>
      <c r="C490" s="99" t="s">
        <v>546</v>
      </c>
      <c r="D490" s="99" t="s">
        <v>547</v>
      </c>
      <c r="E490" s="99" t="s">
        <v>1329</v>
      </c>
      <c r="F490" s="99" t="s">
        <v>115</v>
      </c>
      <c r="G490" s="99" t="s">
        <v>121</v>
      </c>
      <c r="H490" s="100">
        <v>0</v>
      </c>
      <c r="I490" s="100">
        <v>19109.383662558812</v>
      </c>
      <c r="J490" s="100">
        <f t="shared" si="7"/>
        <v>19109.383662558812</v>
      </c>
      <c r="K490" s="100">
        <v>0</v>
      </c>
      <c r="L490" s="100">
        <v>19648.477681439144</v>
      </c>
      <c r="M490" s="100">
        <v>0</v>
      </c>
      <c r="N490" s="100">
        <v>14969.409825469429</v>
      </c>
      <c r="O490" s="100">
        <v>0</v>
      </c>
      <c r="P490" s="100">
        <v>37546.117020195554</v>
      </c>
      <c r="Q490" s="97" t="s">
        <v>738</v>
      </c>
    </row>
    <row r="491" spans="1:17">
      <c r="A491" s="98">
        <v>490</v>
      </c>
      <c r="B491" s="99" t="s">
        <v>1330</v>
      </c>
      <c r="C491" s="99" t="s">
        <v>546</v>
      </c>
      <c r="D491" s="99" t="s">
        <v>547</v>
      </c>
      <c r="E491" s="99" t="s">
        <v>1331</v>
      </c>
      <c r="F491" s="99" t="s">
        <v>115</v>
      </c>
      <c r="G491" s="99" t="s">
        <v>121</v>
      </c>
      <c r="H491" s="100">
        <v>0</v>
      </c>
      <c r="I491" s="100">
        <v>18921.05907677548</v>
      </c>
      <c r="J491" s="100">
        <f t="shared" si="7"/>
        <v>18921.05907677548</v>
      </c>
      <c r="K491" s="100">
        <v>0</v>
      </c>
      <c r="L491" s="100">
        <v>19496.525596980995</v>
      </c>
      <c r="M491" s="100">
        <v>0</v>
      </c>
      <c r="N491" s="100">
        <v>14478.583505062315</v>
      </c>
      <c r="O491" s="100">
        <v>0</v>
      </c>
      <c r="P491" s="100">
        <v>37176.09687404846</v>
      </c>
      <c r="Q491" s="97" t="s">
        <v>738</v>
      </c>
    </row>
    <row r="492" spans="1:17">
      <c r="A492" s="98">
        <v>491</v>
      </c>
      <c r="B492" s="99" t="s">
        <v>1332</v>
      </c>
      <c r="C492" s="99" t="s">
        <v>562</v>
      </c>
      <c r="D492" s="99" t="s">
        <v>563</v>
      </c>
      <c r="E492" s="99" t="s">
        <v>1333</v>
      </c>
      <c r="F492" s="99" t="s">
        <v>116</v>
      </c>
      <c r="G492" s="99" t="s">
        <v>121</v>
      </c>
      <c r="H492" s="100">
        <v>0</v>
      </c>
      <c r="I492" s="100">
        <v>21199.575078273312</v>
      </c>
      <c r="J492" s="100">
        <f t="shared" si="7"/>
        <v>21199.575078273312</v>
      </c>
      <c r="K492" s="100">
        <v>0</v>
      </c>
      <c r="L492" s="100">
        <v>20625.610377020435</v>
      </c>
      <c r="M492" s="100">
        <v>0</v>
      </c>
      <c r="N492" s="100">
        <v>15896.259906838262</v>
      </c>
      <c r="O492" s="100">
        <v>0</v>
      </c>
      <c r="P492" s="100">
        <v>40660.361008626649</v>
      </c>
      <c r="Q492" s="97" t="s">
        <v>738</v>
      </c>
    </row>
    <row r="493" spans="1:17">
      <c r="A493" s="98">
        <v>492</v>
      </c>
      <c r="B493" s="99" t="s">
        <v>1334</v>
      </c>
      <c r="C493" s="99" t="s">
        <v>546</v>
      </c>
      <c r="D493" s="99" t="s">
        <v>547</v>
      </c>
      <c r="E493" s="99" t="s">
        <v>1335</v>
      </c>
      <c r="F493" s="99" t="s">
        <v>115</v>
      </c>
      <c r="G493" s="99" t="s">
        <v>121</v>
      </c>
      <c r="H493" s="100">
        <v>0</v>
      </c>
      <c r="I493" s="100">
        <v>19888.35402504494</v>
      </c>
      <c r="J493" s="100">
        <f t="shared" si="7"/>
        <v>19888.35402504494</v>
      </c>
      <c r="K493" s="100">
        <v>0</v>
      </c>
      <c r="L493" s="100">
        <v>20448.474474268078</v>
      </c>
      <c r="M493" s="100">
        <v>0</v>
      </c>
      <c r="N493" s="100">
        <v>15576.624775628259</v>
      </c>
      <c r="O493" s="100">
        <v>0</v>
      </c>
      <c r="P493" s="100">
        <v>39076.6379884083</v>
      </c>
      <c r="Q493" s="97" t="s">
        <v>738</v>
      </c>
    </row>
    <row r="494" spans="1:17">
      <c r="A494" s="98">
        <v>493</v>
      </c>
      <c r="B494" s="99" t="s">
        <v>1336</v>
      </c>
      <c r="C494" s="99" t="s">
        <v>378</v>
      </c>
      <c r="D494" s="99" t="s">
        <v>379</v>
      </c>
      <c r="E494" s="99" t="s">
        <v>1337</v>
      </c>
      <c r="F494" s="99" t="s">
        <v>120</v>
      </c>
      <c r="G494" s="99" t="s">
        <v>121</v>
      </c>
      <c r="H494" s="100">
        <v>0</v>
      </c>
      <c r="I494" s="100">
        <v>23161.022820159538</v>
      </c>
      <c r="J494" s="100">
        <f t="shared" si="7"/>
        <v>23161.022820159538</v>
      </c>
      <c r="K494" s="100">
        <v>0</v>
      </c>
      <c r="L494" s="100">
        <v>24404.86573475035</v>
      </c>
      <c r="M494" s="100">
        <v>0</v>
      </c>
      <c r="N494" s="100">
        <v>17680.689923389244</v>
      </c>
      <c r="O494" s="100">
        <v>0</v>
      </c>
      <c r="P494" s="100">
        <v>45099.143635414657</v>
      </c>
      <c r="Q494" s="97" t="s">
        <v>738</v>
      </c>
    </row>
    <row r="495" spans="1:17">
      <c r="A495" s="98">
        <v>494</v>
      </c>
      <c r="B495" s="99" t="s">
        <v>1338</v>
      </c>
      <c r="C495" s="99" t="s">
        <v>334</v>
      </c>
      <c r="D495" s="99" t="s">
        <v>335</v>
      </c>
      <c r="E495" s="99" t="s">
        <v>1339</v>
      </c>
      <c r="F495" s="99" t="s">
        <v>114</v>
      </c>
      <c r="G495" s="99" t="s">
        <v>121</v>
      </c>
      <c r="H495" s="100">
        <v>0</v>
      </c>
      <c r="I495" s="100">
        <v>25731.403696757578</v>
      </c>
      <c r="J495" s="100">
        <f t="shared" si="7"/>
        <v>25731.403696757578</v>
      </c>
      <c r="K495" s="100">
        <v>0</v>
      </c>
      <c r="L495" s="100">
        <v>26270.950102136438</v>
      </c>
      <c r="M495" s="100">
        <v>0</v>
      </c>
      <c r="N495" s="100">
        <v>19740.757995761087</v>
      </c>
      <c r="O495" s="100">
        <v>0</v>
      </c>
      <c r="P495" s="100">
        <v>50510.745456735123</v>
      </c>
      <c r="Q495" s="97" t="s">
        <v>738</v>
      </c>
    </row>
    <row r="496" spans="1:17">
      <c r="A496" s="98">
        <v>495</v>
      </c>
      <c r="B496" s="99" t="s">
        <v>1340</v>
      </c>
      <c r="C496" s="99" t="s">
        <v>436</v>
      </c>
      <c r="D496" s="99" t="s">
        <v>437</v>
      </c>
      <c r="E496" s="99" t="s">
        <v>1341</v>
      </c>
      <c r="F496" s="99" t="s">
        <v>115</v>
      </c>
      <c r="G496" s="99" t="s">
        <v>121</v>
      </c>
      <c r="H496" s="100">
        <v>0</v>
      </c>
      <c r="I496" s="100">
        <v>22237.953610793567</v>
      </c>
      <c r="J496" s="100">
        <f t="shared" si="7"/>
        <v>22237.953610793567</v>
      </c>
      <c r="K496" s="100">
        <v>0</v>
      </c>
      <c r="L496" s="100">
        <v>22907.60196837721</v>
      </c>
      <c r="M496" s="100">
        <v>0</v>
      </c>
      <c r="N496" s="100">
        <v>17976.509974761659</v>
      </c>
      <c r="O496" s="100">
        <v>0</v>
      </c>
      <c r="P496" s="100">
        <v>43777.63547820822</v>
      </c>
      <c r="Q496" s="97" t="s">
        <v>738</v>
      </c>
    </row>
    <row r="497" spans="1:17">
      <c r="A497" s="98">
        <v>496</v>
      </c>
      <c r="B497" s="99" t="s">
        <v>1342</v>
      </c>
      <c r="C497" s="99" t="s">
        <v>576</v>
      </c>
      <c r="D497" s="99" t="s">
        <v>577</v>
      </c>
      <c r="E497" s="99" t="s">
        <v>1343</v>
      </c>
      <c r="F497" s="99" t="s">
        <v>116</v>
      </c>
      <c r="G497" s="99" t="s">
        <v>121</v>
      </c>
      <c r="H497" s="100">
        <v>0</v>
      </c>
      <c r="I497" s="100">
        <v>10999.438877737677</v>
      </c>
      <c r="J497" s="100">
        <f t="shared" si="7"/>
        <v>10999.438877737677</v>
      </c>
      <c r="K497" s="100">
        <v>0</v>
      </c>
      <c r="L497" s="100">
        <v>12085.873969839369</v>
      </c>
      <c r="M497" s="100">
        <v>0</v>
      </c>
      <c r="N497" s="100">
        <v>8282.8103808738924</v>
      </c>
      <c r="O497" s="100">
        <v>0</v>
      </c>
      <c r="P497" s="100">
        <v>21338.911422811096</v>
      </c>
      <c r="Q497" s="97" t="s">
        <v>787</v>
      </c>
    </row>
    <row r="498" spans="1:17">
      <c r="A498" s="98">
        <v>497</v>
      </c>
      <c r="B498" s="99" t="s">
        <v>1344</v>
      </c>
      <c r="C498" s="99" t="s">
        <v>520</v>
      </c>
      <c r="D498" s="99" t="s">
        <v>521</v>
      </c>
      <c r="E498" s="99" t="s">
        <v>1345</v>
      </c>
      <c r="F498" s="99" t="s">
        <v>117</v>
      </c>
      <c r="G498" s="99" t="s">
        <v>121</v>
      </c>
      <c r="H498" s="100">
        <v>0</v>
      </c>
      <c r="I498" s="100">
        <v>16756.530347338634</v>
      </c>
      <c r="J498" s="100">
        <f t="shared" si="7"/>
        <v>16756.530347338634</v>
      </c>
      <c r="K498" s="100">
        <v>0</v>
      </c>
      <c r="L498" s="100">
        <v>17403.201309253258</v>
      </c>
      <c r="M498" s="100">
        <v>0</v>
      </c>
      <c r="N498" s="100">
        <v>13672.189676196816</v>
      </c>
      <c r="O498" s="100">
        <v>0</v>
      </c>
      <c r="P498" s="100">
        <v>33023.770008534979</v>
      </c>
      <c r="Q498" s="97" t="s">
        <v>737</v>
      </c>
    </row>
    <row r="499" spans="1:17">
      <c r="A499" s="98">
        <v>498</v>
      </c>
      <c r="B499" s="99" t="s">
        <v>1346</v>
      </c>
      <c r="C499" s="99" t="s">
        <v>472</v>
      </c>
      <c r="D499" s="99" t="s">
        <v>473</v>
      </c>
      <c r="E499" s="99" t="s">
        <v>1347</v>
      </c>
      <c r="F499" s="99" t="s">
        <v>117</v>
      </c>
      <c r="G499" s="99" t="s">
        <v>121</v>
      </c>
      <c r="H499" s="100">
        <v>0</v>
      </c>
      <c r="I499" s="100">
        <v>14825.970054056996</v>
      </c>
      <c r="J499" s="100">
        <f t="shared" si="7"/>
        <v>14825.970054056996</v>
      </c>
      <c r="K499" s="100">
        <v>0</v>
      </c>
      <c r="L499" s="100">
        <v>13532.463928446101</v>
      </c>
      <c r="M499" s="100">
        <v>0</v>
      </c>
      <c r="N499" s="100">
        <v>9578.6257457393422</v>
      </c>
      <c r="O499" s="100">
        <v>0</v>
      </c>
      <c r="P499" s="100">
        <v>29104.120514616585</v>
      </c>
      <c r="Q499" s="97" t="s">
        <v>787</v>
      </c>
    </row>
    <row r="500" spans="1:17">
      <c r="A500" s="98">
        <v>499</v>
      </c>
      <c r="B500" s="99" t="s">
        <v>1348</v>
      </c>
      <c r="C500" s="99" t="s">
        <v>546</v>
      </c>
      <c r="D500" s="99" t="s">
        <v>547</v>
      </c>
      <c r="E500" s="99" t="s">
        <v>1349</v>
      </c>
      <c r="F500" s="99" t="s">
        <v>115</v>
      </c>
      <c r="G500" s="99" t="s">
        <v>121</v>
      </c>
      <c r="H500" s="100">
        <v>0</v>
      </c>
      <c r="I500" s="100">
        <v>20009.899170329169</v>
      </c>
      <c r="J500" s="100">
        <f t="shared" si="7"/>
        <v>20009.899170329169</v>
      </c>
      <c r="K500" s="100">
        <v>0</v>
      </c>
      <c r="L500" s="100">
        <v>20594.427216181062</v>
      </c>
      <c r="M500" s="100">
        <v>0</v>
      </c>
      <c r="N500" s="100">
        <v>15495.177548950249</v>
      </c>
      <c r="O500" s="100">
        <v>0</v>
      </c>
      <c r="P500" s="100">
        <v>39315.44988986275</v>
      </c>
      <c r="Q500" s="97" t="s">
        <v>738</v>
      </c>
    </row>
    <row r="501" spans="1:17">
      <c r="A501" s="98">
        <v>500</v>
      </c>
      <c r="B501" s="99" t="s">
        <v>1350</v>
      </c>
      <c r="C501" s="99" t="s">
        <v>474</v>
      </c>
      <c r="D501" s="99" t="s">
        <v>475</v>
      </c>
      <c r="E501" s="99" t="s">
        <v>1351</v>
      </c>
      <c r="F501" s="99" t="s">
        <v>115</v>
      </c>
      <c r="G501" s="99" t="s">
        <v>121</v>
      </c>
      <c r="H501" s="100">
        <v>0</v>
      </c>
      <c r="I501" s="100">
        <v>30314.467935059653</v>
      </c>
      <c r="J501" s="100">
        <f t="shared" si="7"/>
        <v>30314.467935059653</v>
      </c>
      <c r="K501" s="100">
        <v>0</v>
      </c>
      <c r="L501" s="100">
        <v>32226.899426874381</v>
      </c>
      <c r="M501" s="100">
        <v>0</v>
      </c>
      <c r="N501" s="100">
        <v>24748.613218360857</v>
      </c>
      <c r="O501" s="100">
        <v>0</v>
      </c>
      <c r="P501" s="100">
        <v>58182.558307759988</v>
      </c>
      <c r="Q501" s="97" t="s">
        <v>738</v>
      </c>
    </row>
    <row r="502" spans="1:17">
      <c r="A502" s="98">
        <v>501</v>
      </c>
      <c r="B502" s="99" t="s">
        <v>1352</v>
      </c>
      <c r="C502" s="99" t="s">
        <v>378</v>
      </c>
      <c r="D502" s="99" t="s">
        <v>379</v>
      </c>
      <c r="E502" s="99" t="s">
        <v>1353</v>
      </c>
      <c r="F502" s="99" t="s">
        <v>120</v>
      </c>
      <c r="G502" s="99" t="s">
        <v>121</v>
      </c>
      <c r="H502" s="100">
        <v>0</v>
      </c>
      <c r="I502" s="100">
        <v>24504.73727809461</v>
      </c>
      <c r="J502" s="100">
        <f t="shared" si="7"/>
        <v>24504.73727809461</v>
      </c>
      <c r="K502" s="100">
        <v>0</v>
      </c>
      <c r="L502" s="100">
        <v>25856.74597304123</v>
      </c>
      <c r="M502" s="100">
        <v>0</v>
      </c>
      <c r="N502" s="100">
        <v>18507.334437080091</v>
      </c>
      <c r="O502" s="100">
        <v>0</v>
      </c>
      <c r="P502" s="100">
        <v>47715.624427905823</v>
      </c>
      <c r="Q502" s="97" t="s">
        <v>738</v>
      </c>
    </row>
    <row r="503" spans="1:17">
      <c r="A503" s="98">
        <v>502</v>
      </c>
      <c r="B503" s="99" t="s">
        <v>1354</v>
      </c>
      <c r="C503" s="99" t="s">
        <v>334</v>
      </c>
      <c r="D503" s="99" t="s">
        <v>335</v>
      </c>
      <c r="E503" s="99" t="s">
        <v>1355</v>
      </c>
      <c r="F503" s="99" t="s">
        <v>114</v>
      </c>
      <c r="G503" s="99" t="s">
        <v>121</v>
      </c>
      <c r="H503" s="100">
        <v>0</v>
      </c>
      <c r="I503" s="100">
        <v>26553.363821545572</v>
      </c>
      <c r="J503" s="100">
        <f t="shared" si="7"/>
        <v>26553.363821545572</v>
      </c>
      <c r="K503" s="100">
        <v>0</v>
      </c>
      <c r="L503" s="100">
        <v>27063.420317666962</v>
      </c>
      <c r="M503" s="100">
        <v>0</v>
      </c>
      <c r="N503" s="100">
        <v>20436.191033974203</v>
      </c>
      <c r="O503" s="100">
        <v>0</v>
      </c>
      <c r="P503" s="100">
        <v>52124.253181693952</v>
      </c>
      <c r="Q503" s="97" t="s">
        <v>738</v>
      </c>
    </row>
    <row r="504" spans="1:17">
      <c r="A504" s="98">
        <v>503</v>
      </c>
      <c r="B504" s="99" t="s">
        <v>1356</v>
      </c>
      <c r="C504" s="99" t="s">
        <v>662</v>
      </c>
      <c r="D504" s="99" t="s">
        <v>663</v>
      </c>
      <c r="E504" s="99" t="s">
        <v>1357</v>
      </c>
      <c r="F504" s="99" t="s">
        <v>115</v>
      </c>
      <c r="G504" s="99" t="s">
        <v>121</v>
      </c>
      <c r="H504" s="100">
        <v>0</v>
      </c>
      <c r="I504" s="100">
        <v>25694.516609950926</v>
      </c>
      <c r="J504" s="100">
        <f t="shared" si="7"/>
        <v>25694.516609950926</v>
      </c>
      <c r="K504" s="100">
        <v>0</v>
      </c>
      <c r="L504" s="100">
        <v>26172.736333964647</v>
      </c>
      <c r="M504" s="100">
        <v>0</v>
      </c>
      <c r="N504" s="100">
        <v>20732.846691112518</v>
      </c>
      <c r="O504" s="100">
        <v>0</v>
      </c>
      <c r="P504" s="100">
        <v>50430.627750350686</v>
      </c>
      <c r="Q504" s="97" t="s">
        <v>737</v>
      </c>
    </row>
    <row r="505" spans="1:17">
      <c r="A505" s="98">
        <v>504</v>
      </c>
      <c r="B505" s="99" t="s">
        <v>1358</v>
      </c>
      <c r="C505" s="99" t="s">
        <v>664</v>
      </c>
      <c r="D505" s="99" t="s">
        <v>665</v>
      </c>
      <c r="E505" s="99" t="s">
        <v>1359</v>
      </c>
      <c r="F505" s="99" t="s">
        <v>120</v>
      </c>
      <c r="G505" s="99" t="s">
        <v>121</v>
      </c>
      <c r="H505" s="100">
        <v>0</v>
      </c>
      <c r="I505" s="100">
        <v>24799.796993532382</v>
      </c>
      <c r="J505" s="100">
        <f t="shared" si="7"/>
        <v>24799.796993532382</v>
      </c>
      <c r="K505" s="100">
        <v>0</v>
      </c>
      <c r="L505" s="100">
        <v>25214.039529114678</v>
      </c>
      <c r="M505" s="100">
        <v>0</v>
      </c>
      <c r="N505" s="100">
        <v>20014.946304961377</v>
      </c>
      <c r="O505" s="100">
        <v>0</v>
      </c>
      <c r="P505" s="100">
        <v>48694.401396800829</v>
      </c>
      <c r="Q505" s="97" t="s">
        <v>737</v>
      </c>
    </row>
    <row r="506" spans="1:17">
      <c r="A506" s="98">
        <v>505</v>
      </c>
      <c r="B506" s="99" t="s">
        <v>1360</v>
      </c>
      <c r="C506" s="99" t="s">
        <v>378</v>
      </c>
      <c r="D506" s="99" t="s">
        <v>379</v>
      </c>
      <c r="E506" s="99" t="s">
        <v>1361</v>
      </c>
      <c r="F506" s="99" t="s">
        <v>120</v>
      </c>
      <c r="G506" s="99" t="s">
        <v>121</v>
      </c>
      <c r="H506" s="100">
        <v>0</v>
      </c>
      <c r="I506" s="100">
        <v>21441.049004444012</v>
      </c>
      <c r="J506" s="100">
        <f t="shared" si="7"/>
        <v>21441.049004444012</v>
      </c>
      <c r="K506" s="100">
        <v>0</v>
      </c>
      <c r="L506" s="100">
        <v>22470.604229038789</v>
      </c>
      <c r="M506" s="100">
        <v>0</v>
      </c>
      <c r="N506" s="100">
        <v>17042.955961753029</v>
      </c>
      <c r="O506" s="100">
        <v>0</v>
      </c>
      <c r="P506" s="100">
        <v>41750.010621453381</v>
      </c>
      <c r="Q506" s="97" t="s">
        <v>737</v>
      </c>
    </row>
    <row r="507" spans="1:17">
      <c r="A507" s="98">
        <v>506</v>
      </c>
      <c r="B507" s="99" t="s">
        <v>1362</v>
      </c>
      <c r="C507" s="99" t="s">
        <v>378</v>
      </c>
      <c r="D507" s="99" t="s">
        <v>379</v>
      </c>
      <c r="E507" s="99" t="s">
        <v>1363</v>
      </c>
      <c r="F507" s="99" t="s">
        <v>120</v>
      </c>
      <c r="G507" s="99" t="s">
        <v>121</v>
      </c>
      <c r="H507" s="100">
        <v>0</v>
      </c>
      <c r="I507" s="100">
        <v>23607.065730309554</v>
      </c>
      <c r="J507" s="100">
        <f t="shared" si="7"/>
        <v>23607.065730309554</v>
      </c>
      <c r="K507" s="100">
        <v>0</v>
      </c>
      <c r="L507" s="100">
        <v>24856.544528432987</v>
      </c>
      <c r="M507" s="100">
        <v>0</v>
      </c>
      <c r="N507" s="100">
        <v>18157.66173207985</v>
      </c>
      <c r="O507" s="100">
        <v>0</v>
      </c>
      <c r="P507" s="100">
        <v>45967.678390058769</v>
      </c>
      <c r="Q507" s="97" t="s">
        <v>738</v>
      </c>
    </row>
    <row r="508" spans="1:17">
      <c r="A508" s="98">
        <v>507</v>
      </c>
      <c r="B508" s="99" t="s">
        <v>1364</v>
      </c>
      <c r="C508" s="99" t="s">
        <v>664</v>
      </c>
      <c r="D508" s="99" t="s">
        <v>665</v>
      </c>
      <c r="E508" s="99" t="s">
        <v>1365</v>
      </c>
      <c r="F508" s="99" t="s">
        <v>120</v>
      </c>
      <c r="G508" s="99" t="s">
        <v>121</v>
      </c>
      <c r="H508" s="100">
        <v>0</v>
      </c>
      <c r="I508" s="100">
        <v>14304.371859842544</v>
      </c>
      <c r="J508" s="100">
        <f t="shared" si="7"/>
        <v>14304.371859842544</v>
      </c>
      <c r="K508" s="100">
        <v>0</v>
      </c>
      <c r="L508" s="100">
        <v>14718.61439542484</v>
      </c>
      <c r="M508" s="100">
        <v>0</v>
      </c>
      <c r="N508" s="100">
        <v>9519.5211712715409</v>
      </c>
      <c r="O508" s="100">
        <v>0</v>
      </c>
      <c r="P508" s="100">
        <v>28086.634146800836</v>
      </c>
      <c r="Q508" s="97" t="s">
        <v>787</v>
      </c>
    </row>
    <row r="509" spans="1:17">
      <c r="A509" s="98">
        <v>508</v>
      </c>
      <c r="B509" s="99" t="s">
        <v>1366</v>
      </c>
      <c r="C509" s="99" t="s">
        <v>664</v>
      </c>
      <c r="D509" s="99" t="s">
        <v>665</v>
      </c>
      <c r="E509" s="99" t="s">
        <v>1367</v>
      </c>
      <c r="F509" s="99" t="s">
        <v>120</v>
      </c>
      <c r="G509" s="99" t="s">
        <v>121</v>
      </c>
      <c r="H509" s="100">
        <v>0</v>
      </c>
      <c r="I509" s="100">
        <v>27661.428009575171</v>
      </c>
      <c r="J509" s="100">
        <f t="shared" si="7"/>
        <v>27661.428009575171</v>
      </c>
      <c r="K509" s="100">
        <v>0</v>
      </c>
      <c r="L509" s="100">
        <v>28075.67054515746</v>
      </c>
      <c r="M509" s="100">
        <v>0</v>
      </c>
      <c r="N509" s="100">
        <v>22876.577321004163</v>
      </c>
      <c r="O509" s="100">
        <v>0</v>
      </c>
      <c r="P509" s="100">
        <v>54313.213896800844</v>
      </c>
      <c r="Q509" s="97" t="s">
        <v>737</v>
      </c>
    </row>
    <row r="510" spans="1:17">
      <c r="A510" s="98">
        <v>509</v>
      </c>
      <c r="B510" s="99" t="s">
        <v>1368</v>
      </c>
      <c r="C510" s="99" t="s">
        <v>548</v>
      </c>
      <c r="D510" s="99" t="s">
        <v>549</v>
      </c>
      <c r="E510" s="99" t="s">
        <v>1369</v>
      </c>
      <c r="F510" s="99" t="s">
        <v>114</v>
      </c>
      <c r="G510" s="99" t="s">
        <v>121</v>
      </c>
      <c r="H510" s="100">
        <v>0</v>
      </c>
      <c r="I510" s="100">
        <v>21951.464187101516</v>
      </c>
      <c r="J510" s="100">
        <f t="shared" si="7"/>
        <v>21951.464187101516</v>
      </c>
      <c r="K510" s="100">
        <v>0</v>
      </c>
      <c r="L510" s="100">
        <v>22330.511415890938</v>
      </c>
      <c r="M510" s="100">
        <v>0</v>
      </c>
      <c r="N510" s="100">
        <v>15978.532311005149</v>
      </c>
      <c r="O510" s="100">
        <v>0</v>
      </c>
      <c r="P510" s="100">
        <v>43178.530056028678</v>
      </c>
      <c r="Q510" s="97" t="s">
        <v>738</v>
      </c>
    </row>
    <row r="511" spans="1:17">
      <c r="A511" s="98">
        <v>510</v>
      </c>
      <c r="B511" s="99" t="s">
        <v>1370</v>
      </c>
      <c r="C511" s="99" t="s">
        <v>578</v>
      </c>
      <c r="D511" s="99" t="s">
        <v>579</v>
      </c>
      <c r="E511" s="99" t="s">
        <v>1371</v>
      </c>
      <c r="F511" s="99" t="s">
        <v>117</v>
      </c>
      <c r="G511" s="99" t="s">
        <v>121</v>
      </c>
      <c r="H511" s="100">
        <v>0</v>
      </c>
      <c r="I511" s="100">
        <v>22609.547921308666</v>
      </c>
      <c r="J511" s="100">
        <f t="shared" si="7"/>
        <v>22609.547921308666</v>
      </c>
      <c r="K511" s="100">
        <v>0</v>
      </c>
      <c r="L511" s="100">
        <v>22911.56238159665</v>
      </c>
      <c r="M511" s="100">
        <v>0</v>
      </c>
      <c r="N511" s="100">
        <v>19268.904850409715</v>
      </c>
      <c r="O511" s="100">
        <v>0</v>
      </c>
      <c r="P511" s="100">
        <v>45189.703430319634</v>
      </c>
      <c r="Q511" s="97" t="s">
        <v>738</v>
      </c>
    </row>
    <row r="512" spans="1:17">
      <c r="A512" s="98">
        <v>511</v>
      </c>
      <c r="B512" s="99" t="s">
        <v>1372</v>
      </c>
      <c r="C512" s="99" t="s">
        <v>664</v>
      </c>
      <c r="D512" s="99" t="s">
        <v>665</v>
      </c>
      <c r="E512" s="99" t="s">
        <v>1373</v>
      </c>
      <c r="F512" s="99" t="s">
        <v>120</v>
      </c>
      <c r="G512" s="99" t="s">
        <v>121</v>
      </c>
      <c r="H512" s="100">
        <v>0</v>
      </c>
      <c r="I512" s="100">
        <v>25566.22079032383</v>
      </c>
      <c r="J512" s="100">
        <f t="shared" si="7"/>
        <v>25566.22079032383</v>
      </c>
      <c r="K512" s="100">
        <v>0</v>
      </c>
      <c r="L512" s="100">
        <v>25980.463325906119</v>
      </c>
      <c r="M512" s="100">
        <v>0</v>
      </c>
      <c r="N512" s="100">
        <v>20781.370101752826</v>
      </c>
      <c r="O512" s="100">
        <v>0</v>
      </c>
      <c r="P512" s="100">
        <v>50199.274521800842</v>
      </c>
      <c r="Q512" s="97" t="s">
        <v>737</v>
      </c>
    </row>
    <row r="513" spans="1:17">
      <c r="A513" s="98">
        <v>512</v>
      </c>
      <c r="B513" s="99" t="s">
        <v>1374</v>
      </c>
      <c r="C513" s="99" t="s">
        <v>436</v>
      </c>
      <c r="D513" s="99" t="s">
        <v>437</v>
      </c>
      <c r="E513" s="99" t="s">
        <v>1375</v>
      </c>
      <c r="F513" s="99" t="s">
        <v>115</v>
      </c>
      <c r="G513" s="99" t="s">
        <v>121</v>
      </c>
      <c r="H513" s="100">
        <v>0</v>
      </c>
      <c r="I513" s="100">
        <v>22446.63337931893</v>
      </c>
      <c r="J513" s="100">
        <f t="shared" si="7"/>
        <v>22446.63337931893</v>
      </c>
      <c r="K513" s="100">
        <v>0</v>
      </c>
      <c r="L513" s="100">
        <v>23150.89647308848</v>
      </c>
      <c r="M513" s="100">
        <v>0</v>
      </c>
      <c r="N513" s="100">
        <v>17951.153596063465</v>
      </c>
      <c r="O513" s="100">
        <v>0</v>
      </c>
      <c r="P513" s="100">
        <v>44188.442470527239</v>
      </c>
      <c r="Q513" s="97" t="s">
        <v>738</v>
      </c>
    </row>
    <row r="514" spans="1:17">
      <c r="A514" s="98">
        <v>513</v>
      </c>
      <c r="B514" s="99" t="s">
        <v>1376</v>
      </c>
      <c r="C514" s="99" t="s">
        <v>472</v>
      </c>
      <c r="D514" s="99" t="s">
        <v>473</v>
      </c>
      <c r="E514" s="99" t="s">
        <v>1377</v>
      </c>
      <c r="F514" s="99" t="s">
        <v>117</v>
      </c>
      <c r="G514" s="99" t="s">
        <v>121</v>
      </c>
      <c r="H514" s="100">
        <v>0</v>
      </c>
      <c r="I514" s="100">
        <v>26134.203256531309</v>
      </c>
      <c r="J514" s="100">
        <f t="shared" si="7"/>
        <v>26134.203256531309</v>
      </c>
      <c r="K514" s="100">
        <v>0</v>
      </c>
      <c r="L514" s="100">
        <v>24502.21761276387</v>
      </c>
      <c r="M514" s="100">
        <v>0</v>
      </c>
      <c r="N514" s="100">
        <v>19349.930734627807</v>
      </c>
      <c r="O514" s="100">
        <v>0</v>
      </c>
      <c r="P514" s="100">
        <v>51302.747702733788</v>
      </c>
      <c r="Q514" s="97" t="s">
        <v>738</v>
      </c>
    </row>
    <row r="515" spans="1:17">
      <c r="A515" s="98">
        <v>514</v>
      </c>
      <c r="B515" s="99" t="s">
        <v>1378</v>
      </c>
      <c r="C515" s="99" t="s">
        <v>470</v>
      </c>
      <c r="D515" s="99" t="s">
        <v>471</v>
      </c>
      <c r="E515" s="99" t="s">
        <v>1379</v>
      </c>
      <c r="F515" s="99" t="s">
        <v>115</v>
      </c>
      <c r="G515" s="99" t="s">
        <v>121</v>
      </c>
      <c r="H515" s="100">
        <v>0</v>
      </c>
      <c r="I515" s="100">
        <v>16106.087611266916</v>
      </c>
      <c r="J515" s="100">
        <f t="shared" ref="J515:J578" si="8">IF(H515=0,I515,AVERAGE(H515:I515))</f>
        <v>16106.087611266916</v>
      </c>
      <c r="K515" s="100">
        <v>0</v>
      </c>
      <c r="L515" s="100">
        <v>16574.766973353995</v>
      </c>
      <c r="M515" s="100">
        <v>0</v>
      </c>
      <c r="N515" s="100">
        <v>10609.305375133599</v>
      </c>
      <c r="O515" s="100">
        <v>0</v>
      </c>
      <c r="P515" s="100">
        <v>31490.622497549073</v>
      </c>
      <c r="Q515" s="97" t="s">
        <v>787</v>
      </c>
    </row>
    <row r="516" spans="1:17">
      <c r="A516" s="98">
        <v>515</v>
      </c>
      <c r="B516" s="99" t="s">
        <v>1380</v>
      </c>
      <c r="C516" s="99" t="s">
        <v>554</v>
      </c>
      <c r="D516" s="99" t="s">
        <v>555</v>
      </c>
      <c r="E516" s="99" t="s">
        <v>1381</v>
      </c>
      <c r="F516" s="99" t="s">
        <v>119</v>
      </c>
      <c r="G516" s="99" t="s">
        <v>325</v>
      </c>
      <c r="H516" s="100">
        <v>0</v>
      </c>
      <c r="I516" s="100">
        <v>24926.967443176756</v>
      </c>
      <c r="J516" s="100">
        <f t="shared" si="8"/>
        <v>24926.967443176756</v>
      </c>
      <c r="K516" s="100">
        <v>0</v>
      </c>
      <c r="L516" s="100">
        <v>22241.326812996664</v>
      </c>
      <c r="M516" s="100">
        <v>0</v>
      </c>
      <c r="N516" s="100">
        <v>19653.80022493246</v>
      </c>
      <c r="O516" s="100">
        <v>0</v>
      </c>
      <c r="P516" s="100">
        <v>48899.232033279841</v>
      </c>
      <c r="Q516" s="97" t="s">
        <v>737</v>
      </c>
    </row>
    <row r="517" spans="1:17">
      <c r="A517" s="98">
        <v>516</v>
      </c>
      <c r="B517" s="99" t="s">
        <v>1382</v>
      </c>
      <c r="C517" s="99" t="s">
        <v>664</v>
      </c>
      <c r="D517" s="99" t="s">
        <v>665</v>
      </c>
      <c r="E517" s="99" t="s">
        <v>1383</v>
      </c>
      <c r="F517" s="99" t="s">
        <v>120</v>
      </c>
      <c r="G517" s="99" t="s">
        <v>121</v>
      </c>
      <c r="H517" s="100">
        <v>0</v>
      </c>
      <c r="I517" s="100">
        <v>29174.248724852947</v>
      </c>
      <c r="J517" s="100">
        <f t="shared" si="8"/>
        <v>29174.248724852947</v>
      </c>
      <c r="K517" s="100">
        <v>0</v>
      </c>
      <c r="L517" s="100">
        <v>29688.204041889487</v>
      </c>
      <c r="M517" s="100">
        <v>0</v>
      </c>
      <c r="N517" s="100">
        <v>23116.916577540109</v>
      </c>
      <c r="O517" s="100">
        <v>0</v>
      </c>
      <c r="P517" s="100">
        <v>57283.637371248755</v>
      </c>
      <c r="Q517" s="97" t="s">
        <v>738</v>
      </c>
    </row>
    <row r="518" spans="1:17">
      <c r="A518" s="98">
        <v>517</v>
      </c>
      <c r="B518" s="99" t="s">
        <v>1384</v>
      </c>
      <c r="C518" s="99" t="s">
        <v>548</v>
      </c>
      <c r="D518" s="99" t="s">
        <v>549</v>
      </c>
      <c r="E518" s="99" t="s">
        <v>1385</v>
      </c>
      <c r="F518" s="99" t="s">
        <v>114</v>
      </c>
      <c r="G518" s="99" t="s">
        <v>121</v>
      </c>
      <c r="H518" s="100">
        <v>0</v>
      </c>
      <c r="I518" s="100">
        <v>24214.498541849105</v>
      </c>
      <c r="J518" s="100">
        <f t="shared" si="8"/>
        <v>24214.498541849105</v>
      </c>
      <c r="K518" s="100">
        <v>0</v>
      </c>
      <c r="L518" s="100">
        <v>24571.97461324498</v>
      </c>
      <c r="M518" s="100">
        <v>0</v>
      </c>
      <c r="N518" s="100">
        <v>18381.407207428318</v>
      </c>
      <c r="O518" s="100">
        <v>0</v>
      </c>
      <c r="P518" s="100">
        <v>47629.918631817192</v>
      </c>
      <c r="Q518" s="97" t="s">
        <v>738</v>
      </c>
    </row>
    <row r="519" spans="1:17">
      <c r="A519" s="98">
        <v>518</v>
      </c>
      <c r="B519" s="99" t="s">
        <v>1386</v>
      </c>
      <c r="C519" s="99" t="s">
        <v>334</v>
      </c>
      <c r="D519" s="99" t="s">
        <v>335</v>
      </c>
      <c r="E519" s="99" t="s">
        <v>1387</v>
      </c>
      <c r="F519" s="99" t="s">
        <v>114</v>
      </c>
      <c r="G519" s="99" t="s">
        <v>121</v>
      </c>
      <c r="H519" s="100">
        <v>0</v>
      </c>
      <c r="I519" s="100">
        <v>30445.803842498692</v>
      </c>
      <c r="J519" s="100">
        <f t="shared" si="8"/>
        <v>30445.803842498692</v>
      </c>
      <c r="K519" s="100">
        <v>0</v>
      </c>
      <c r="L519" s="100">
        <v>31004.060833066047</v>
      </c>
      <c r="M519" s="100">
        <v>0</v>
      </c>
      <c r="N519" s="100">
        <v>24032.813815462599</v>
      </c>
      <c r="O519" s="100">
        <v>0</v>
      </c>
      <c r="P519" s="100">
        <v>59765.112942824933</v>
      </c>
      <c r="Q519" s="97" t="s">
        <v>738</v>
      </c>
    </row>
    <row r="520" spans="1:17">
      <c r="A520" s="98">
        <v>519</v>
      </c>
      <c r="B520" s="99" t="s">
        <v>1388</v>
      </c>
      <c r="C520" s="99" t="s">
        <v>664</v>
      </c>
      <c r="D520" s="99" t="s">
        <v>665</v>
      </c>
      <c r="E520" s="99" t="s">
        <v>1389</v>
      </c>
      <c r="F520" s="99" t="s">
        <v>120</v>
      </c>
      <c r="G520" s="99" t="s">
        <v>121</v>
      </c>
      <c r="H520" s="100">
        <v>0</v>
      </c>
      <c r="I520" s="100">
        <v>24108.072394601902</v>
      </c>
      <c r="J520" s="100">
        <f t="shared" si="8"/>
        <v>24108.072394601902</v>
      </c>
      <c r="K520" s="100">
        <v>0</v>
      </c>
      <c r="L520" s="100">
        <v>24522.314930184191</v>
      </c>
      <c r="M520" s="100">
        <v>0</v>
      </c>
      <c r="N520" s="100">
        <v>19323.221706030894</v>
      </c>
      <c r="O520" s="100">
        <v>0</v>
      </c>
      <c r="P520" s="100">
        <v>47336.200146800838</v>
      </c>
      <c r="Q520" s="97" t="s">
        <v>737</v>
      </c>
    </row>
    <row r="521" spans="1:17">
      <c r="A521" s="98">
        <v>520</v>
      </c>
      <c r="B521" s="99" t="s">
        <v>1390</v>
      </c>
      <c r="C521" s="99" t="s">
        <v>378</v>
      </c>
      <c r="D521" s="99" t="s">
        <v>379</v>
      </c>
      <c r="E521" s="99" t="s">
        <v>1391</v>
      </c>
      <c r="F521" s="99" t="s">
        <v>120</v>
      </c>
      <c r="G521" s="99" t="s">
        <v>121</v>
      </c>
      <c r="H521" s="100">
        <v>0</v>
      </c>
      <c r="I521" s="100">
        <v>14336.097683693853</v>
      </c>
      <c r="J521" s="100">
        <f t="shared" si="8"/>
        <v>14336.097683693853</v>
      </c>
      <c r="K521" s="100">
        <v>0</v>
      </c>
      <c r="L521" s="100">
        <v>15365.652908288626</v>
      </c>
      <c r="M521" s="100">
        <v>0</v>
      </c>
      <c r="N521" s="100">
        <v>9938.0046410028699</v>
      </c>
      <c r="O521" s="100">
        <v>0</v>
      </c>
      <c r="P521" s="100">
        <v>27915.249409688673</v>
      </c>
      <c r="Q521" s="97" t="s">
        <v>787</v>
      </c>
    </row>
    <row r="522" spans="1:17">
      <c r="A522" s="98">
        <v>521</v>
      </c>
      <c r="B522" s="99" t="s">
        <v>1392</v>
      </c>
      <c r="C522" s="99" t="s">
        <v>406</v>
      </c>
      <c r="D522" s="99" t="s">
        <v>407</v>
      </c>
      <c r="E522" s="99" t="s">
        <v>1393</v>
      </c>
      <c r="F522" s="99" t="s">
        <v>115</v>
      </c>
      <c r="G522" s="99" t="s">
        <v>121</v>
      </c>
      <c r="H522" s="100">
        <v>0</v>
      </c>
      <c r="I522" s="100">
        <v>41189.349124651104</v>
      </c>
      <c r="J522" s="100">
        <f t="shared" si="8"/>
        <v>41189.349124651104</v>
      </c>
      <c r="K522" s="100">
        <v>0</v>
      </c>
      <c r="L522" s="100">
        <v>41971.587560573884</v>
      </c>
      <c r="M522" s="100">
        <v>0</v>
      </c>
      <c r="N522" s="100">
        <v>32117.570043785563</v>
      </c>
      <c r="O522" s="100">
        <v>0</v>
      </c>
      <c r="P522" s="100">
        <v>80554.010083080153</v>
      </c>
      <c r="Q522" s="97" t="s">
        <v>738</v>
      </c>
    </row>
    <row r="523" spans="1:17">
      <c r="A523" s="98">
        <v>522</v>
      </c>
      <c r="B523" s="99" t="s">
        <v>1394</v>
      </c>
      <c r="C523" s="99" t="s">
        <v>470</v>
      </c>
      <c r="D523" s="99" t="s">
        <v>471</v>
      </c>
      <c r="E523" s="99" t="s">
        <v>1395</v>
      </c>
      <c r="F523" s="99" t="s">
        <v>115</v>
      </c>
      <c r="G523" s="99" t="s">
        <v>121</v>
      </c>
      <c r="H523" s="100">
        <v>0</v>
      </c>
      <c r="I523" s="100">
        <v>26241.993753023293</v>
      </c>
      <c r="J523" s="100">
        <f t="shared" si="8"/>
        <v>26241.993753023293</v>
      </c>
      <c r="K523" s="100">
        <v>0</v>
      </c>
      <c r="L523" s="100">
        <v>26710.673115110374</v>
      </c>
      <c r="M523" s="100">
        <v>0</v>
      </c>
      <c r="N523" s="100">
        <v>20745.211516889976</v>
      </c>
      <c r="O523" s="100">
        <v>0</v>
      </c>
      <c r="P523" s="100">
        <v>51308.346185911141</v>
      </c>
      <c r="Q523" s="97" t="s">
        <v>737</v>
      </c>
    </row>
    <row r="524" spans="1:17">
      <c r="A524" s="98">
        <v>523</v>
      </c>
      <c r="B524" s="99" t="s">
        <v>1396</v>
      </c>
      <c r="C524" s="99" t="s">
        <v>664</v>
      </c>
      <c r="D524" s="99" t="s">
        <v>665</v>
      </c>
      <c r="E524" s="99" t="s">
        <v>1397</v>
      </c>
      <c r="F524" s="99" t="s">
        <v>120</v>
      </c>
      <c r="G524" s="99" t="s">
        <v>121</v>
      </c>
      <c r="H524" s="100">
        <v>0</v>
      </c>
      <c r="I524" s="100">
        <v>27011.314373211528</v>
      </c>
      <c r="J524" s="100">
        <f t="shared" si="8"/>
        <v>27011.314373211528</v>
      </c>
      <c r="K524" s="100">
        <v>0</v>
      </c>
      <c r="L524" s="100">
        <v>27425.556908793827</v>
      </c>
      <c r="M524" s="100">
        <v>0</v>
      </c>
      <c r="N524" s="100">
        <v>22226.463684640526</v>
      </c>
      <c r="O524" s="100">
        <v>0</v>
      </c>
      <c r="P524" s="100">
        <v>53036.715771800838</v>
      </c>
      <c r="Q524" s="97" t="s">
        <v>737</v>
      </c>
    </row>
    <row r="525" spans="1:17">
      <c r="A525" s="98">
        <v>524</v>
      </c>
      <c r="B525" s="99" t="s">
        <v>1398</v>
      </c>
      <c r="C525" s="99" t="s">
        <v>664</v>
      </c>
      <c r="D525" s="99" t="s">
        <v>665</v>
      </c>
      <c r="E525" s="99" t="s">
        <v>1399</v>
      </c>
      <c r="F525" s="99" t="s">
        <v>120</v>
      </c>
      <c r="G525" s="99" t="s">
        <v>121</v>
      </c>
      <c r="H525" s="100">
        <v>0</v>
      </c>
      <c r="I525" s="100">
        <v>26773.600469468216</v>
      </c>
      <c r="J525" s="100">
        <f t="shared" si="8"/>
        <v>26773.600469468216</v>
      </c>
      <c r="K525" s="100">
        <v>0</v>
      </c>
      <c r="L525" s="100">
        <v>27187.843005050516</v>
      </c>
      <c r="M525" s="100">
        <v>0</v>
      </c>
      <c r="N525" s="100">
        <v>21988.749780897215</v>
      </c>
      <c r="O525" s="100">
        <v>0</v>
      </c>
      <c r="P525" s="100">
        <v>52569.964521800845</v>
      </c>
      <c r="Q525" s="97" t="s">
        <v>737</v>
      </c>
    </row>
    <row r="526" spans="1:17">
      <c r="A526" s="98">
        <v>525</v>
      </c>
      <c r="B526" s="99" t="s">
        <v>1400</v>
      </c>
      <c r="C526" s="99" t="s">
        <v>662</v>
      </c>
      <c r="D526" s="99" t="s">
        <v>663</v>
      </c>
      <c r="E526" s="99" t="s">
        <v>1401</v>
      </c>
      <c r="F526" s="99" t="s">
        <v>115</v>
      </c>
      <c r="G526" s="99" t="s">
        <v>121</v>
      </c>
      <c r="H526" s="100">
        <v>0</v>
      </c>
      <c r="I526" s="100">
        <v>25598.259024956296</v>
      </c>
      <c r="J526" s="100">
        <f t="shared" si="8"/>
        <v>25598.259024956296</v>
      </c>
      <c r="K526" s="100">
        <v>0</v>
      </c>
      <c r="L526" s="100">
        <v>26076.478748970017</v>
      </c>
      <c r="M526" s="100">
        <v>0</v>
      </c>
      <c r="N526" s="100">
        <v>20674.055131763427</v>
      </c>
      <c r="O526" s="100">
        <v>0</v>
      </c>
      <c r="P526" s="100">
        <v>50241.702988281722</v>
      </c>
      <c r="Q526" s="97" t="s">
        <v>737</v>
      </c>
    </row>
    <row r="527" spans="1:17">
      <c r="A527" s="98">
        <v>526</v>
      </c>
      <c r="B527" s="99" t="s">
        <v>1402</v>
      </c>
      <c r="C527" s="99" t="s">
        <v>664</v>
      </c>
      <c r="D527" s="99" t="s">
        <v>665</v>
      </c>
      <c r="E527" s="99" t="s">
        <v>1403</v>
      </c>
      <c r="F527" s="99" t="s">
        <v>120</v>
      </c>
      <c r="G527" s="99" t="s">
        <v>121</v>
      </c>
      <c r="H527" s="100">
        <v>0</v>
      </c>
      <c r="I527" s="100">
        <v>20741.956084441477</v>
      </c>
      <c r="J527" s="100">
        <f t="shared" si="8"/>
        <v>20741.956084441477</v>
      </c>
      <c r="K527" s="100">
        <v>0</v>
      </c>
      <c r="L527" s="100">
        <v>21156.19862002377</v>
      </c>
      <c r="M527" s="100">
        <v>0</v>
      </c>
      <c r="N527" s="100">
        <v>15957.105395870471</v>
      </c>
      <c r="O527" s="100">
        <v>0</v>
      </c>
      <c r="P527" s="100">
        <v>40726.830771800836</v>
      </c>
      <c r="Q527" s="97" t="s">
        <v>737</v>
      </c>
    </row>
    <row r="528" spans="1:17">
      <c r="A528" s="98">
        <v>527</v>
      </c>
      <c r="B528" s="99" t="s">
        <v>1404</v>
      </c>
      <c r="C528" s="99" t="s">
        <v>692</v>
      </c>
      <c r="D528" s="99" t="s">
        <v>693</v>
      </c>
      <c r="E528" s="99" t="s">
        <v>1405</v>
      </c>
      <c r="F528" s="99" t="s">
        <v>120</v>
      </c>
      <c r="G528" s="99" t="s">
        <v>121</v>
      </c>
      <c r="H528" s="100">
        <v>0</v>
      </c>
      <c r="I528" s="100">
        <v>12961.489773540003</v>
      </c>
      <c r="J528" s="100">
        <f t="shared" si="8"/>
        <v>12961.489773540003</v>
      </c>
      <c r="K528" s="100">
        <v>0</v>
      </c>
      <c r="L528" s="100">
        <v>14128.888578648151</v>
      </c>
      <c r="M528" s="100">
        <v>0</v>
      </c>
      <c r="N528" s="100">
        <v>9138.1056896759274</v>
      </c>
      <c r="O528" s="100">
        <v>0</v>
      </c>
      <c r="P528" s="100">
        <v>25922.979547080005</v>
      </c>
      <c r="Q528" s="97" t="s">
        <v>787</v>
      </c>
    </row>
    <row r="529" spans="1:17">
      <c r="A529" s="98">
        <v>528</v>
      </c>
      <c r="B529" s="99" t="s">
        <v>1406</v>
      </c>
      <c r="C529" s="99" t="s">
        <v>470</v>
      </c>
      <c r="D529" s="99" t="s">
        <v>471</v>
      </c>
      <c r="E529" s="99" t="s">
        <v>1407</v>
      </c>
      <c r="F529" s="99" t="s">
        <v>115</v>
      </c>
      <c r="G529" s="99" t="s">
        <v>121</v>
      </c>
      <c r="H529" s="100">
        <v>0</v>
      </c>
      <c r="I529" s="100">
        <v>27492.07501295886</v>
      </c>
      <c r="J529" s="100">
        <f t="shared" si="8"/>
        <v>27492.07501295886</v>
      </c>
      <c r="K529" s="100">
        <v>0</v>
      </c>
      <c r="L529" s="100">
        <v>27924.137161208491</v>
      </c>
      <c r="M529" s="100">
        <v>0</v>
      </c>
      <c r="N529" s="100">
        <v>22396.586729138966</v>
      </c>
      <c r="O529" s="100">
        <v>0</v>
      </c>
      <c r="P529" s="100">
        <v>53752.505065337173</v>
      </c>
      <c r="Q529" s="97" t="s">
        <v>738</v>
      </c>
    </row>
    <row r="530" spans="1:17">
      <c r="A530" s="98">
        <v>529</v>
      </c>
      <c r="B530" s="99" t="s">
        <v>1408</v>
      </c>
      <c r="C530" s="99" t="s">
        <v>378</v>
      </c>
      <c r="D530" s="99" t="s">
        <v>379</v>
      </c>
      <c r="E530" s="99" t="s">
        <v>1409</v>
      </c>
      <c r="F530" s="99" t="s">
        <v>120</v>
      </c>
      <c r="G530" s="99" t="s">
        <v>121</v>
      </c>
      <c r="H530" s="100">
        <v>0</v>
      </c>
      <c r="I530" s="100">
        <v>14336.097683693853</v>
      </c>
      <c r="J530" s="100">
        <f t="shared" si="8"/>
        <v>14336.097683693853</v>
      </c>
      <c r="K530" s="100">
        <v>0</v>
      </c>
      <c r="L530" s="100">
        <v>15365.652908288626</v>
      </c>
      <c r="M530" s="100">
        <v>0</v>
      </c>
      <c r="N530" s="100">
        <v>9938.0046410028699</v>
      </c>
      <c r="O530" s="100">
        <v>0</v>
      </c>
      <c r="P530" s="100">
        <v>27915.249409688673</v>
      </c>
      <c r="Q530" s="97" t="s">
        <v>787</v>
      </c>
    </row>
    <row r="531" spans="1:17">
      <c r="A531" s="98">
        <v>530</v>
      </c>
      <c r="B531" s="99" t="s">
        <v>1410</v>
      </c>
      <c r="C531" s="99" t="s">
        <v>664</v>
      </c>
      <c r="D531" s="99" t="s">
        <v>665</v>
      </c>
      <c r="E531" s="99" t="s">
        <v>1411</v>
      </c>
      <c r="F531" s="99" t="s">
        <v>120</v>
      </c>
      <c r="G531" s="99" t="s">
        <v>121</v>
      </c>
      <c r="H531" s="100">
        <v>0</v>
      </c>
      <c r="I531" s="100">
        <v>14304.371859842544</v>
      </c>
      <c r="J531" s="100">
        <f t="shared" si="8"/>
        <v>14304.371859842544</v>
      </c>
      <c r="K531" s="100">
        <v>0</v>
      </c>
      <c r="L531" s="100">
        <v>14718.61439542484</v>
      </c>
      <c r="M531" s="100">
        <v>0</v>
      </c>
      <c r="N531" s="100">
        <v>9519.5211712715409</v>
      </c>
      <c r="O531" s="100">
        <v>0</v>
      </c>
      <c r="P531" s="100">
        <v>28086.634146800836</v>
      </c>
      <c r="Q531" s="97" t="s">
        <v>787</v>
      </c>
    </row>
    <row r="532" spans="1:17">
      <c r="A532" s="98">
        <v>531</v>
      </c>
      <c r="B532" s="99" t="s">
        <v>1412</v>
      </c>
      <c r="C532" s="99" t="s">
        <v>574</v>
      </c>
      <c r="D532" s="99" t="s">
        <v>575</v>
      </c>
      <c r="E532" s="99" t="s">
        <v>1413</v>
      </c>
      <c r="F532" s="99" t="s">
        <v>115</v>
      </c>
      <c r="G532" s="99" t="s">
        <v>121</v>
      </c>
      <c r="H532" s="100">
        <v>0</v>
      </c>
      <c r="I532" s="100">
        <v>14592.917976732188</v>
      </c>
      <c r="J532" s="100">
        <f t="shared" si="8"/>
        <v>14592.917976732188</v>
      </c>
      <c r="K532" s="100">
        <v>0</v>
      </c>
      <c r="L532" s="100">
        <v>15909.992604577916</v>
      </c>
      <c r="M532" s="100">
        <v>0</v>
      </c>
      <c r="N532" s="100">
        <v>10183.791442102423</v>
      </c>
      <c r="O532" s="100">
        <v>0</v>
      </c>
      <c r="P532" s="100">
        <v>28308.80158306277</v>
      </c>
      <c r="Q532" s="97" t="s">
        <v>787</v>
      </c>
    </row>
    <row r="533" spans="1:17">
      <c r="A533" s="98">
        <v>532</v>
      </c>
      <c r="B533" s="99" t="s">
        <v>1414</v>
      </c>
      <c r="C533" s="99" t="s">
        <v>334</v>
      </c>
      <c r="D533" s="99" t="s">
        <v>335</v>
      </c>
      <c r="E533" s="99" t="s">
        <v>1415</v>
      </c>
      <c r="F533" s="99" t="s">
        <v>114</v>
      </c>
      <c r="G533" s="99" t="s">
        <v>121</v>
      </c>
      <c r="H533" s="100">
        <v>0</v>
      </c>
      <c r="I533" s="100">
        <v>29583.321423842161</v>
      </c>
      <c r="J533" s="100">
        <f t="shared" si="8"/>
        <v>29583.321423842161</v>
      </c>
      <c r="K533" s="100">
        <v>0</v>
      </c>
      <c r="L533" s="100">
        <v>30168.430264208855</v>
      </c>
      <c r="M533" s="100">
        <v>0</v>
      </c>
      <c r="N533" s="100">
        <v>22818.424872329448</v>
      </c>
      <c r="O533" s="100">
        <v>0</v>
      </c>
      <c r="P533" s="100">
        <v>58072.059955002165</v>
      </c>
      <c r="Q533" s="97" t="s">
        <v>738</v>
      </c>
    </row>
    <row r="534" spans="1:17">
      <c r="A534" s="98">
        <v>533</v>
      </c>
      <c r="B534" s="99" t="s">
        <v>1416</v>
      </c>
      <c r="C534" s="99" t="s">
        <v>664</v>
      </c>
      <c r="D534" s="99" t="s">
        <v>665</v>
      </c>
      <c r="E534" s="99" t="s">
        <v>1417</v>
      </c>
      <c r="F534" s="99" t="s">
        <v>120</v>
      </c>
      <c r="G534" s="99" t="s">
        <v>121</v>
      </c>
      <c r="H534" s="100">
        <v>0</v>
      </c>
      <c r="I534" s="100">
        <v>24057.998865190144</v>
      </c>
      <c r="J534" s="100">
        <f t="shared" si="8"/>
        <v>24057.998865190144</v>
      </c>
      <c r="K534" s="100">
        <v>0</v>
      </c>
      <c r="L534" s="100">
        <v>24472.241400772429</v>
      </c>
      <c r="M534" s="100">
        <v>0</v>
      </c>
      <c r="N534" s="100">
        <v>19273.148176619139</v>
      </c>
      <c r="O534" s="100">
        <v>0</v>
      </c>
      <c r="P534" s="100">
        <v>47237.880771800847</v>
      </c>
      <c r="Q534" s="97" t="s">
        <v>737</v>
      </c>
    </row>
    <row r="535" spans="1:17">
      <c r="A535" s="98">
        <v>534</v>
      </c>
      <c r="B535" s="99" t="s">
        <v>1418</v>
      </c>
      <c r="C535" s="99" t="s">
        <v>402</v>
      </c>
      <c r="D535" s="99" t="s">
        <v>403</v>
      </c>
      <c r="E535" s="99" t="s">
        <v>1419</v>
      </c>
      <c r="F535" s="99" t="s">
        <v>115</v>
      </c>
      <c r="G535" s="99" t="s">
        <v>121</v>
      </c>
      <c r="H535" s="100">
        <v>0</v>
      </c>
      <c r="I535" s="100">
        <v>27699.691952516787</v>
      </c>
      <c r="J535" s="100">
        <f t="shared" si="8"/>
        <v>27699.691952516787</v>
      </c>
      <c r="K535" s="100">
        <v>0</v>
      </c>
      <c r="L535" s="100">
        <v>29249.478788569289</v>
      </c>
      <c r="M535" s="100">
        <v>0</v>
      </c>
      <c r="N535" s="100">
        <v>23082.82661590564</v>
      </c>
      <c r="O535" s="100">
        <v>0</v>
      </c>
      <c r="P535" s="100">
        <v>53521.344790652925</v>
      </c>
      <c r="Q535" s="97" t="s">
        <v>738</v>
      </c>
    </row>
    <row r="536" spans="1:17">
      <c r="A536" s="98">
        <v>535</v>
      </c>
      <c r="B536" s="99" t="s">
        <v>1420</v>
      </c>
      <c r="C536" s="99" t="s">
        <v>664</v>
      </c>
      <c r="D536" s="99" t="s">
        <v>665</v>
      </c>
      <c r="E536" s="99" t="s">
        <v>1421</v>
      </c>
      <c r="F536" s="99" t="s">
        <v>120</v>
      </c>
      <c r="G536" s="99" t="s">
        <v>121</v>
      </c>
      <c r="H536" s="100">
        <v>0</v>
      </c>
      <c r="I536" s="100">
        <v>23391.020255564472</v>
      </c>
      <c r="J536" s="100">
        <f t="shared" si="8"/>
        <v>23391.020255564472</v>
      </c>
      <c r="K536" s="100">
        <v>0</v>
      </c>
      <c r="L536" s="100">
        <v>23805.262791146764</v>
      </c>
      <c r="M536" s="100">
        <v>0</v>
      </c>
      <c r="N536" s="100">
        <v>18606.169566993467</v>
      </c>
      <c r="O536" s="100">
        <v>0</v>
      </c>
      <c r="P536" s="100">
        <v>45928.268271800844</v>
      </c>
      <c r="Q536" s="97" t="s">
        <v>737</v>
      </c>
    </row>
    <row r="537" spans="1:17">
      <c r="A537" s="98">
        <v>536</v>
      </c>
      <c r="B537" s="99" t="s">
        <v>1422</v>
      </c>
      <c r="C537" s="99" t="s">
        <v>664</v>
      </c>
      <c r="D537" s="99" t="s">
        <v>665</v>
      </c>
      <c r="E537" s="99" t="s">
        <v>1423</v>
      </c>
      <c r="F537" s="99" t="s">
        <v>120</v>
      </c>
      <c r="G537" s="99" t="s">
        <v>121</v>
      </c>
      <c r="H537" s="100">
        <v>0</v>
      </c>
      <c r="I537" s="100">
        <v>24139.436030965535</v>
      </c>
      <c r="J537" s="100">
        <f t="shared" si="8"/>
        <v>24139.436030965535</v>
      </c>
      <c r="K537" s="100">
        <v>0</v>
      </c>
      <c r="L537" s="100">
        <v>24553.678566547835</v>
      </c>
      <c r="M537" s="100">
        <v>0</v>
      </c>
      <c r="N537" s="100">
        <v>19354.585342394537</v>
      </c>
      <c r="O537" s="100">
        <v>0</v>
      </c>
      <c r="P537" s="100">
        <v>47397.782646800828</v>
      </c>
      <c r="Q537" s="97" t="s">
        <v>737</v>
      </c>
    </row>
    <row r="538" spans="1:17">
      <c r="A538" s="98">
        <v>537</v>
      </c>
      <c r="B538" s="99" t="s">
        <v>1424</v>
      </c>
      <c r="C538" s="99" t="s">
        <v>664</v>
      </c>
      <c r="D538" s="99" t="s">
        <v>665</v>
      </c>
      <c r="E538" s="99" t="s">
        <v>1425</v>
      </c>
      <c r="F538" s="99" t="s">
        <v>120</v>
      </c>
      <c r="G538" s="99" t="s">
        <v>121</v>
      </c>
      <c r="H538" s="100">
        <v>0</v>
      </c>
      <c r="I538" s="100">
        <v>28549.412769304814</v>
      </c>
      <c r="J538" s="100">
        <f t="shared" si="8"/>
        <v>28549.412769304814</v>
      </c>
      <c r="K538" s="100">
        <v>0</v>
      </c>
      <c r="L538" s="100">
        <v>29168.806314616755</v>
      </c>
      <c r="M538" s="100">
        <v>0</v>
      </c>
      <c r="N538" s="100">
        <v>21146.534057486631</v>
      </c>
      <c r="O538" s="100">
        <v>0</v>
      </c>
      <c r="P538" s="100">
        <v>56056.771972530005</v>
      </c>
      <c r="Q538" s="97" t="s">
        <v>738</v>
      </c>
    </row>
    <row r="539" spans="1:17">
      <c r="A539" s="98">
        <v>538</v>
      </c>
      <c r="B539" s="99" t="s">
        <v>1426</v>
      </c>
      <c r="C539" s="99" t="s">
        <v>664</v>
      </c>
      <c r="D539" s="99" t="s">
        <v>665</v>
      </c>
      <c r="E539" s="99" t="s">
        <v>1427</v>
      </c>
      <c r="F539" s="99" t="s">
        <v>120</v>
      </c>
      <c r="G539" s="99" t="s">
        <v>121</v>
      </c>
      <c r="H539" s="100">
        <v>0</v>
      </c>
      <c r="I539" s="100">
        <v>27455.080595953666</v>
      </c>
      <c r="J539" s="100">
        <f t="shared" si="8"/>
        <v>27455.080595953666</v>
      </c>
      <c r="K539" s="100">
        <v>0</v>
      </c>
      <c r="L539" s="100">
        <v>28049.372713903751</v>
      </c>
      <c r="M539" s="100">
        <v>0</v>
      </c>
      <c r="N539" s="100">
        <v>20372.53294340464</v>
      </c>
      <c r="O539" s="100">
        <v>0</v>
      </c>
      <c r="P539" s="100">
        <v>53908.050750155016</v>
      </c>
      <c r="Q539" s="97" t="s">
        <v>738</v>
      </c>
    </row>
    <row r="540" spans="1:17">
      <c r="A540" s="98">
        <v>539</v>
      </c>
      <c r="B540" s="99" t="s">
        <v>1428</v>
      </c>
      <c r="C540" s="99" t="s">
        <v>664</v>
      </c>
      <c r="D540" s="99" t="s">
        <v>665</v>
      </c>
      <c r="E540" s="99" t="s">
        <v>1429</v>
      </c>
      <c r="F540" s="99" t="s">
        <v>120</v>
      </c>
      <c r="G540" s="99" t="s">
        <v>121</v>
      </c>
      <c r="H540" s="100">
        <v>0</v>
      </c>
      <c r="I540" s="100">
        <v>25703.285703573983</v>
      </c>
      <c r="J540" s="100">
        <f t="shared" si="8"/>
        <v>25703.285703573983</v>
      </c>
      <c r="K540" s="100">
        <v>0</v>
      </c>
      <c r="L540" s="100">
        <v>26221.981002673801</v>
      </c>
      <c r="M540" s="100">
        <v>0</v>
      </c>
      <c r="N540" s="100">
        <v>19585.464427361854</v>
      </c>
      <c r="O540" s="100">
        <v>0</v>
      </c>
      <c r="P540" s="100">
        <v>50468.401478967513</v>
      </c>
      <c r="Q540" s="97" t="s">
        <v>738</v>
      </c>
    </row>
    <row r="541" spans="1:17">
      <c r="A541" s="98">
        <v>540</v>
      </c>
      <c r="B541" s="99" t="s">
        <v>1430</v>
      </c>
      <c r="C541" s="99" t="s">
        <v>55</v>
      </c>
      <c r="D541" s="99" t="s">
        <v>56</v>
      </c>
      <c r="E541" s="99" t="s">
        <v>1431</v>
      </c>
      <c r="F541" s="99" t="s">
        <v>115</v>
      </c>
      <c r="G541" s="99" t="s">
        <v>121</v>
      </c>
      <c r="H541" s="100">
        <v>0</v>
      </c>
      <c r="I541" s="100">
        <v>25345.267604917277</v>
      </c>
      <c r="J541" s="100">
        <f t="shared" si="8"/>
        <v>25345.267604917277</v>
      </c>
      <c r="K541" s="100">
        <v>0</v>
      </c>
      <c r="L541" s="100">
        <v>25658.007963319884</v>
      </c>
      <c r="M541" s="100">
        <v>0</v>
      </c>
      <c r="N541" s="100">
        <v>19941.768084603365</v>
      </c>
      <c r="O541" s="100">
        <v>0</v>
      </c>
      <c r="P541" s="100">
        <v>48837.796147915105</v>
      </c>
      <c r="Q541" s="97" t="s">
        <v>738</v>
      </c>
    </row>
    <row r="542" spans="1:17">
      <c r="A542" s="98">
        <v>541</v>
      </c>
      <c r="B542" s="99" t="s">
        <v>1432</v>
      </c>
      <c r="C542" s="99" t="s">
        <v>504</v>
      </c>
      <c r="D542" s="99" t="s">
        <v>505</v>
      </c>
      <c r="E542" s="99" t="s">
        <v>504</v>
      </c>
      <c r="F542" s="99" t="s">
        <v>115</v>
      </c>
      <c r="G542" s="99" t="s">
        <v>121</v>
      </c>
      <c r="H542" s="100">
        <v>0</v>
      </c>
      <c r="I542" s="100">
        <v>23663.669146581127</v>
      </c>
      <c r="J542" s="100">
        <f t="shared" si="8"/>
        <v>23663.669146581127</v>
      </c>
      <c r="K542" s="100">
        <v>0</v>
      </c>
      <c r="L542" s="100">
        <v>24839.56108862687</v>
      </c>
      <c r="M542" s="100">
        <v>0</v>
      </c>
      <c r="N542" s="100">
        <v>19172.440637367756</v>
      </c>
      <c r="O542" s="100">
        <v>0</v>
      </c>
      <c r="P542" s="100">
        <v>46243.542246248842</v>
      </c>
      <c r="Q542" s="97" t="s">
        <v>738</v>
      </c>
    </row>
    <row r="543" spans="1:17">
      <c r="A543" s="98">
        <v>542</v>
      </c>
      <c r="B543" s="99" t="s">
        <v>1433</v>
      </c>
      <c r="C543" s="99" t="s">
        <v>546</v>
      </c>
      <c r="D543" s="99" t="s">
        <v>547</v>
      </c>
      <c r="E543" s="99" t="s">
        <v>1434</v>
      </c>
      <c r="F543" s="99" t="s">
        <v>115</v>
      </c>
      <c r="G543" s="99" t="s">
        <v>121</v>
      </c>
      <c r="H543" s="100">
        <v>0</v>
      </c>
      <c r="I543" s="100">
        <v>24640.098830629282</v>
      </c>
      <c r="J543" s="100">
        <f t="shared" si="8"/>
        <v>24640.098830629282</v>
      </c>
      <c r="K543" s="100">
        <v>0</v>
      </c>
      <c r="L543" s="100">
        <v>25215.510185075109</v>
      </c>
      <c r="M543" s="100">
        <v>0</v>
      </c>
      <c r="N543" s="100">
        <v>20274.209256347505</v>
      </c>
      <c r="O543" s="100">
        <v>0</v>
      </c>
      <c r="P543" s="100">
        <v>48412.866182420417</v>
      </c>
      <c r="Q543" s="97" t="s">
        <v>738</v>
      </c>
    </row>
    <row r="544" spans="1:17">
      <c r="A544" s="98">
        <v>543</v>
      </c>
      <c r="B544" s="99" t="s">
        <v>1435</v>
      </c>
      <c r="C544" s="99" t="s">
        <v>660</v>
      </c>
      <c r="D544" s="99" t="s">
        <v>661</v>
      </c>
      <c r="E544" s="99" t="s">
        <v>1436</v>
      </c>
      <c r="F544" s="99" t="s">
        <v>117</v>
      </c>
      <c r="G544" s="99" t="s">
        <v>121</v>
      </c>
      <c r="H544" s="100">
        <v>0</v>
      </c>
      <c r="I544" s="100">
        <v>27599.140531101828</v>
      </c>
      <c r="J544" s="100">
        <f t="shared" si="8"/>
        <v>27599.140531101828</v>
      </c>
      <c r="K544" s="100">
        <v>0</v>
      </c>
      <c r="L544" s="100">
        <v>28629.36349549481</v>
      </c>
      <c r="M544" s="100">
        <v>0</v>
      </c>
      <c r="N544" s="100">
        <v>24406.721011783899</v>
      </c>
      <c r="O544" s="100">
        <v>0</v>
      </c>
      <c r="P544" s="100">
        <v>54378.310597024618</v>
      </c>
      <c r="Q544" s="97" t="s">
        <v>738</v>
      </c>
    </row>
    <row r="545" spans="1:17">
      <c r="A545" s="98">
        <v>544</v>
      </c>
      <c r="B545" s="99" t="s">
        <v>1437</v>
      </c>
      <c r="C545" s="99" t="s">
        <v>460</v>
      </c>
      <c r="D545" s="99" t="s">
        <v>461</v>
      </c>
      <c r="E545" s="99" t="s">
        <v>1438</v>
      </c>
      <c r="F545" s="99" t="s">
        <v>115</v>
      </c>
      <c r="G545" s="99" t="s">
        <v>121</v>
      </c>
      <c r="H545" s="100">
        <v>0</v>
      </c>
      <c r="I545" s="100">
        <v>28586.074507657697</v>
      </c>
      <c r="J545" s="100">
        <f t="shared" si="8"/>
        <v>28586.074507657697</v>
      </c>
      <c r="K545" s="100">
        <v>0</v>
      </c>
      <c r="L545" s="100">
        <v>29415.218948076414</v>
      </c>
      <c r="M545" s="100">
        <v>0</v>
      </c>
      <c r="N545" s="100">
        <v>21155.601759716661</v>
      </c>
      <c r="O545" s="100">
        <v>0</v>
      </c>
      <c r="P545" s="100">
        <v>56088.736791475159</v>
      </c>
      <c r="Q545" s="97" t="s">
        <v>738</v>
      </c>
    </row>
    <row r="546" spans="1:17">
      <c r="A546" s="98">
        <v>545</v>
      </c>
      <c r="B546" s="99" t="s">
        <v>1439</v>
      </c>
      <c r="C546" s="99" t="s">
        <v>664</v>
      </c>
      <c r="D546" s="99" t="s">
        <v>665</v>
      </c>
      <c r="E546" s="99" t="s">
        <v>1440</v>
      </c>
      <c r="F546" s="99" t="s">
        <v>120</v>
      </c>
      <c r="G546" s="99" t="s">
        <v>121</v>
      </c>
      <c r="H546" s="100">
        <v>0</v>
      </c>
      <c r="I546" s="100">
        <v>27732.989339714804</v>
      </c>
      <c r="J546" s="100">
        <f t="shared" si="8"/>
        <v>27732.989339714804</v>
      </c>
      <c r="K546" s="100">
        <v>0</v>
      </c>
      <c r="L546" s="100">
        <v>28289.861573083788</v>
      </c>
      <c r="M546" s="100">
        <v>0</v>
      </c>
      <c r="N546" s="100">
        <v>21127.974342691628</v>
      </c>
      <c r="O546" s="100">
        <v>0</v>
      </c>
      <c r="P546" s="100">
        <v>54453.724568530022</v>
      </c>
      <c r="Q546" s="97" t="s">
        <v>738</v>
      </c>
    </row>
    <row r="547" spans="1:17">
      <c r="A547" s="98">
        <v>546</v>
      </c>
      <c r="B547" s="99" t="s">
        <v>1441</v>
      </c>
      <c r="C547" s="99" t="s">
        <v>664</v>
      </c>
      <c r="D547" s="99" t="s">
        <v>665</v>
      </c>
      <c r="E547" s="99" t="s">
        <v>1442</v>
      </c>
      <c r="F547" s="99" t="s">
        <v>120</v>
      </c>
      <c r="G547" s="99" t="s">
        <v>121</v>
      </c>
      <c r="H547" s="100">
        <v>0</v>
      </c>
      <c r="I547" s="100">
        <v>31290.385228826497</v>
      </c>
      <c r="J547" s="100">
        <f t="shared" si="8"/>
        <v>31290.385228826497</v>
      </c>
      <c r="K547" s="100">
        <v>0</v>
      </c>
      <c r="L547" s="100">
        <v>31704.627764408793</v>
      </c>
      <c r="M547" s="100">
        <v>0</v>
      </c>
      <c r="N547" s="100">
        <v>26505.534540255492</v>
      </c>
      <c r="O547" s="100">
        <v>0</v>
      </c>
      <c r="P547" s="100">
        <v>61438.671396800826</v>
      </c>
      <c r="Q547" s="97" t="s">
        <v>737</v>
      </c>
    </row>
    <row r="548" spans="1:17">
      <c r="A548" s="98">
        <v>547</v>
      </c>
      <c r="B548" s="99" t="s">
        <v>1443</v>
      </c>
      <c r="C548" s="99" t="s">
        <v>664</v>
      </c>
      <c r="D548" s="99" t="s">
        <v>665</v>
      </c>
      <c r="E548" s="99" t="s">
        <v>1444</v>
      </c>
      <c r="F548" s="99" t="s">
        <v>120</v>
      </c>
      <c r="G548" s="99" t="s">
        <v>121</v>
      </c>
      <c r="H548" s="100">
        <v>0</v>
      </c>
      <c r="I548" s="100">
        <v>31962.681623360066</v>
      </c>
      <c r="J548" s="100">
        <f t="shared" si="8"/>
        <v>31962.681623360066</v>
      </c>
      <c r="K548" s="100">
        <v>0</v>
      </c>
      <c r="L548" s="100">
        <v>32537.075922459888</v>
      </c>
      <c r="M548" s="100">
        <v>0</v>
      </c>
      <c r="N548" s="100">
        <v>25134.059347147948</v>
      </c>
      <c r="O548" s="100">
        <v>0</v>
      </c>
      <c r="P548" s="100">
        <v>62758.725367467494</v>
      </c>
      <c r="Q548" s="97" t="s">
        <v>738</v>
      </c>
    </row>
    <row r="549" spans="1:17">
      <c r="A549" s="98">
        <v>548</v>
      </c>
      <c r="B549" s="99" t="s">
        <v>1445</v>
      </c>
      <c r="C549" s="99" t="s">
        <v>378</v>
      </c>
      <c r="D549" s="99" t="s">
        <v>379</v>
      </c>
      <c r="E549" s="99" t="s">
        <v>1446</v>
      </c>
      <c r="F549" s="99" t="s">
        <v>120</v>
      </c>
      <c r="G549" s="99" t="s">
        <v>121</v>
      </c>
      <c r="H549" s="100">
        <v>0</v>
      </c>
      <c r="I549" s="100">
        <v>14336.097683693853</v>
      </c>
      <c r="J549" s="100">
        <f t="shared" si="8"/>
        <v>14336.097683693853</v>
      </c>
      <c r="K549" s="100">
        <v>0</v>
      </c>
      <c r="L549" s="100">
        <v>15365.652908288626</v>
      </c>
      <c r="M549" s="100">
        <v>0</v>
      </c>
      <c r="N549" s="100">
        <v>9938.0046410028699</v>
      </c>
      <c r="O549" s="100">
        <v>0</v>
      </c>
      <c r="P549" s="100">
        <v>27915.249409688673</v>
      </c>
      <c r="Q549" s="97" t="s">
        <v>787</v>
      </c>
    </row>
    <row r="550" spans="1:17">
      <c r="A550" s="98">
        <v>549</v>
      </c>
      <c r="B550" s="99" t="s">
        <v>1447</v>
      </c>
      <c r="C550" s="99" t="s">
        <v>664</v>
      </c>
      <c r="D550" s="99" t="s">
        <v>665</v>
      </c>
      <c r="E550" s="99" t="s">
        <v>1448</v>
      </c>
      <c r="F550" s="99" t="s">
        <v>120</v>
      </c>
      <c r="G550" s="99" t="s">
        <v>121</v>
      </c>
      <c r="H550" s="100">
        <v>0</v>
      </c>
      <c r="I550" s="100">
        <v>33035.025679732622</v>
      </c>
      <c r="J550" s="100">
        <f t="shared" si="8"/>
        <v>33035.025679732622</v>
      </c>
      <c r="K550" s="100">
        <v>0</v>
      </c>
      <c r="L550" s="100">
        <v>33712.915940285202</v>
      </c>
      <c r="M550" s="100">
        <v>0</v>
      </c>
      <c r="N550" s="100">
        <v>24885.643014705875</v>
      </c>
      <c r="O550" s="100">
        <v>0</v>
      </c>
      <c r="P550" s="100">
        <v>64864.272922154996</v>
      </c>
      <c r="Q550" s="97" t="s">
        <v>738</v>
      </c>
    </row>
    <row r="551" spans="1:17">
      <c r="A551" s="98">
        <v>550</v>
      </c>
      <c r="B551" s="99" t="s">
        <v>1449</v>
      </c>
      <c r="C551" s="99" t="s">
        <v>378</v>
      </c>
      <c r="D551" s="99" t="s">
        <v>379</v>
      </c>
      <c r="E551" s="99" t="s">
        <v>1450</v>
      </c>
      <c r="F551" s="99" t="s">
        <v>120</v>
      </c>
      <c r="G551" s="99" t="s">
        <v>121</v>
      </c>
      <c r="H551" s="100">
        <v>0</v>
      </c>
      <c r="I551" s="100">
        <v>28384.027394060849</v>
      </c>
      <c r="J551" s="100">
        <f t="shared" si="8"/>
        <v>28384.027394060849</v>
      </c>
      <c r="K551" s="100">
        <v>0</v>
      </c>
      <c r="L551" s="100">
        <v>29791.386810624004</v>
      </c>
      <c r="M551" s="100">
        <v>0</v>
      </c>
      <c r="N551" s="100">
        <v>22470.982965585583</v>
      </c>
      <c r="O551" s="100">
        <v>0</v>
      </c>
      <c r="P551" s="100">
        <v>55269.378141715286</v>
      </c>
      <c r="Q551" s="97" t="s">
        <v>738</v>
      </c>
    </row>
    <row r="552" spans="1:17">
      <c r="A552" s="98">
        <v>551</v>
      </c>
      <c r="B552" s="99" t="s">
        <v>1451</v>
      </c>
      <c r="C552" s="99" t="s">
        <v>664</v>
      </c>
      <c r="D552" s="99" t="s">
        <v>665</v>
      </c>
      <c r="E552" s="99" t="s">
        <v>1452</v>
      </c>
      <c r="F552" s="99" t="s">
        <v>120</v>
      </c>
      <c r="G552" s="99" t="s">
        <v>121</v>
      </c>
      <c r="H552" s="100">
        <v>0</v>
      </c>
      <c r="I552" s="100">
        <v>32120.726548716579</v>
      </c>
      <c r="J552" s="100">
        <f t="shared" si="8"/>
        <v>32120.726548716579</v>
      </c>
      <c r="K552" s="100">
        <v>0</v>
      </c>
      <c r="L552" s="100">
        <v>32583.203373440283</v>
      </c>
      <c r="M552" s="100">
        <v>0</v>
      </c>
      <c r="N552" s="100">
        <v>26720.335528074862</v>
      </c>
      <c r="O552" s="100">
        <v>0</v>
      </c>
      <c r="P552" s="100">
        <v>63069.04657840501</v>
      </c>
      <c r="Q552" s="97" t="s">
        <v>738</v>
      </c>
    </row>
    <row r="553" spans="1:17">
      <c r="A553" s="98">
        <v>552</v>
      </c>
      <c r="B553" s="99" t="s">
        <v>1453</v>
      </c>
      <c r="C553" s="99" t="s">
        <v>664</v>
      </c>
      <c r="D553" s="99" t="s">
        <v>665</v>
      </c>
      <c r="E553" s="99" t="s">
        <v>1454</v>
      </c>
      <c r="F553" s="99" t="s">
        <v>120</v>
      </c>
      <c r="G553" s="99" t="s">
        <v>121</v>
      </c>
      <c r="H553" s="100">
        <v>0</v>
      </c>
      <c r="I553" s="100">
        <v>29070.304967834225</v>
      </c>
      <c r="J553" s="100">
        <f t="shared" si="8"/>
        <v>29070.304967834225</v>
      </c>
      <c r="K553" s="100">
        <v>0</v>
      </c>
      <c r="L553" s="100">
        <v>29605.676635472377</v>
      </c>
      <c r="M553" s="100">
        <v>0</v>
      </c>
      <c r="N553" s="100">
        <v>22739.668750000004</v>
      </c>
      <c r="O553" s="100">
        <v>0</v>
      </c>
      <c r="P553" s="100">
        <v>57079.543804342509</v>
      </c>
      <c r="Q553" s="97" t="s">
        <v>738</v>
      </c>
    </row>
    <row r="554" spans="1:17">
      <c r="A554" s="98">
        <v>553</v>
      </c>
      <c r="B554" s="99" t="s">
        <v>1455</v>
      </c>
      <c r="C554" s="99" t="s">
        <v>664</v>
      </c>
      <c r="D554" s="99" t="s">
        <v>665</v>
      </c>
      <c r="E554" s="99" t="s">
        <v>1456</v>
      </c>
      <c r="F554" s="99" t="s">
        <v>120</v>
      </c>
      <c r="G554" s="99" t="s">
        <v>121</v>
      </c>
      <c r="H554" s="100">
        <v>0</v>
      </c>
      <c r="I554" s="100">
        <v>27605.699399949492</v>
      </c>
      <c r="J554" s="100">
        <f t="shared" si="8"/>
        <v>27605.699399949492</v>
      </c>
      <c r="K554" s="100">
        <v>0</v>
      </c>
      <c r="L554" s="100">
        <v>28019.941935531795</v>
      </c>
      <c r="M554" s="100">
        <v>0</v>
      </c>
      <c r="N554" s="100">
        <v>22820.848711378487</v>
      </c>
      <c r="O554" s="100">
        <v>0</v>
      </c>
      <c r="P554" s="100">
        <v>54203.790771800828</v>
      </c>
      <c r="Q554" s="97" t="s">
        <v>737</v>
      </c>
    </row>
    <row r="555" spans="1:17">
      <c r="A555" s="98">
        <v>554</v>
      </c>
      <c r="B555" s="99" t="s">
        <v>1457</v>
      </c>
      <c r="C555" s="99" t="s">
        <v>378</v>
      </c>
      <c r="D555" s="99" t="s">
        <v>379</v>
      </c>
      <c r="E555" s="99" t="s">
        <v>1458</v>
      </c>
      <c r="F555" s="99" t="s">
        <v>120</v>
      </c>
      <c r="G555" s="99" t="s">
        <v>121</v>
      </c>
      <c r="H555" s="100">
        <v>0</v>
      </c>
      <c r="I555" s="100">
        <v>22801.763665616614</v>
      </c>
      <c r="J555" s="100">
        <f t="shared" si="8"/>
        <v>22801.763665616614</v>
      </c>
      <c r="K555" s="100">
        <v>0</v>
      </c>
      <c r="L555" s="100">
        <v>23831.318890211387</v>
      </c>
      <c r="M555" s="100">
        <v>0</v>
      </c>
      <c r="N555" s="100">
        <v>18403.670622925631</v>
      </c>
      <c r="O555" s="100">
        <v>0</v>
      </c>
      <c r="P555" s="100">
        <v>44399.594209688665</v>
      </c>
      <c r="Q555" s="97" t="s">
        <v>737</v>
      </c>
    </row>
    <row r="556" spans="1:17">
      <c r="A556" s="98">
        <v>555</v>
      </c>
      <c r="B556" s="99" t="s">
        <v>1459</v>
      </c>
      <c r="C556" s="99" t="s">
        <v>660</v>
      </c>
      <c r="D556" s="99" t="s">
        <v>661</v>
      </c>
      <c r="E556" s="99" t="s">
        <v>1460</v>
      </c>
      <c r="F556" s="99" t="s">
        <v>117</v>
      </c>
      <c r="G556" s="99" t="s">
        <v>121</v>
      </c>
      <c r="H556" s="100">
        <v>0</v>
      </c>
      <c r="I556" s="100">
        <v>28802.285588382343</v>
      </c>
      <c r="J556" s="100">
        <f t="shared" si="8"/>
        <v>28802.285588382343</v>
      </c>
      <c r="K556" s="100">
        <v>0</v>
      </c>
      <c r="L556" s="100">
        <v>29928.042620824657</v>
      </c>
      <c r="M556" s="100">
        <v>0</v>
      </c>
      <c r="N556" s="100">
        <v>25273.680092778224</v>
      </c>
      <c r="O556" s="100">
        <v>0</v>
      </c>
      <c r="P556" s="100">
        <v>56748.855271933848</v>
      </c>
      <c r="Q556" s="97" t="s">
        <v>738</v>
      </c>
    </row>
    <row r="557" spans="1:17">
      <c r="A557" s="98">
        <v>556</v>
      </c>
      <c r="B557" s="99" t="s">
        <v>1461</v>
      </c>
      <c r="C557" s="99" t="s">
        <v>334</v>
      </c>
      <c r="D557" s="99" t="s">
        <v>335</v>
      </c>
      <c r="E557" s="99" t="s">
        <v>1462</v>
      </c>
      <c r="F557" s="99" t="s">
        <v>114</v>
      </c>
      <c r="G557" s="99" t="s">
        <v>121</v>
      </c>
      <c r="H557" s="100">
        <v>0</v>
      </c>
      <c r="I557" s="100">
        <v>37849.421465000596</v>
      </c>
      <c r="J557" s="100">
        <f t="shared" si="8"/>
        <v>37849.421465000596</v>
      </c>
      <c r="K557" s="100">
        <v>0</v>
      </c>
      <c r="L557" s="100">
        <v>38452.447169424471</v>
      </c>
      <c r="M557" s="100">
        <v>0</v>
      </c>
      <c r="N557" s="100">
        <v>30976.276817733</v>
      </c>
      <c r="O557" s="100">
        <v>0</v>
      </c>
      <c r="P557" s="100">
        <v>74298.414335796173</v>
      </c>
      <c r="Q557" s="97" t="s">
        <v>738</v>
      </c>
    </row>
    <row r="558" spans="1:17">
      <c r="A558" s="98">
        <v>557</v>
      </c>
      <c r="B558" s="99" t="s">
        <v>1463</v>
      </c>
      <c r="C558" s="99" t="s">
        <v>396</v>
      </c>
      <c r="D558" s="99" t="s">
        <v>397</v>
      </c>
      <c r="E558" s="99" t="s">
        <v>1464</v>
      </c>
      <c r="F558" s="99" t="s">
        <v>116</v>
      </c>
      <c r="G558" s="99" t="s">
        <v>322</v>
      </c>
      <c r="H558" s="100">
        <v>0</v>
      </c>
      <c r="I558" s="100">
        <v>8282.6990038531094</v>
      </c>
      <c r="J558" s="100">
        <f t="shared" si="8"/>
        <v>8282.6990038531094</v>
      </c>
      <c r="K558" s="100">
        <v>0</v>
      </c>
      <c r="L558" s="100">
        <v>8641.7360302657071</v>
      </c>
      <c r="M558" s="100">
        <v>0</v>
      </c>
      <c r="N558" s="100">
        <v>5480.6923707688065</v>
      </c>
      <c r="O558" s="100">
        <v>0</v>
      </c>
      <c r="P558" s="100">
        <v>15627.796480470048</v>
      </c>
      <c r="Q558" s="97" t="s">
        <v>787</v>
      </c>
    </row>
    <row r="559" spans="1:17">
      <c r="A559" s="98">
        <v>558</v>
      </c>
      <c r="B559" s="99" t="s">
        <v>1465</v>
      </c>
      <c r="C559" s="99" t="s">
        <v>664</v>
      </c>
      <c r="D559" s="99" t="s">
        <v>665</v>
      </c>
      <c r="E559" s="99" t="s">
        <v>1466</v>
      </c>
      <c r="F559" s="99" t="s">
        <v>120</v>
      </c>
      <c r="G559" s="99" t="s">
        <v>121</v>
      </c>
      <c r="H559" s="100">
        <v>0</v>
      </c>
      <c r="I559" s="100">
        <v>33126.429485770954</v>
      </c>
      <c r="J559" s="100">
        <f t="shared" si="8"/>
        <v>33126.429485770954</v>
      </c>
      <c r="K559" s="100">
        <v>0</v>
      </c>
      <c r="L559" s="100">
        <v>33649.045663992874</v>
      </c>
      <c r="M559" s="100">
        <v>0</v>
      </c>
      <c r="N559" s="100">
        <v>26909.587277183608</v>
      </c>
      <c r="O559" s="100">
        <v>0</v>
      </c>
      <c r="P559" s="100">
        <v>65043.74429531127</v>
      </c>
      <c r="Q559" s="97" t="s">
        <v>738</v>
      </c>
    </row>
    <row r="560" spans="1:17">
      <c r="A560" s="98">
        <v>559</v>
      </c>
      <c r="B560" s="99" t="s">
        <v>1467</v>
      </c>
      <c r="C560" s="99" t="s">
        <v>378</v>
      </c>
      <c r="D560" s="99" t="s">
        <v>379</v>
      </c>
      <c r="E560" s="99" t="s">
        <v>1468</v>
      </c>
      <c r="F560" s="99" t="s">
        <v>120</v>
      </c>
      <c r="G560" s="99" t="s">
        <v>121</v>
      </c>
      <c r="H560" s="100">
        <v>0</v>
      </c>
      <c r="I560" s="100">
        <v>30975.352547758597</v>
      </c>
      <c r="J560" s="100">
        <f t="shared" si="8"/>
        <v>30975.352547758597</v>
      </c>
      <c r="K560" s="100">
        <v>0</v>
      </c>
      <c r="L560" s="100">
        <v>32436.203417214467</v>
      </c>
      <c r="M560" s="100">
        <v>0</v>
      </c>
      <c r="N560" s="100">
        <v>24457.646363858817</v>
      </c>
      <c r="O560" s="100">
        <v>0</v>
      </c>
      <c r="P560" s="100">
        <v>60315.206480995541</v>
      </c>
      <c r="Q560" s="97" t="s">
        <v>738</v>
      </c>
    </row>
    <row r="561" spans="1:17">
      <c r="A561" s="98">
        <v>560</v>
      </c>
      <c r="B561" s="99" t="s">
        <v>1469</v>
      </c>
      <c r="C561" s="99" t="s">
        <v>664</v>
      </c>
      <c r="D561" s="99" t="s">
        <v>665</v>
      </c>
      <c r="E561" s="99" t="s">
        <v>1470</v>
      </c>
      <c r="F561" s="99" t="s">
        <v>120</v>
      </c>
      <c r="G561" s="99" t="s">
        <v>121</v>
      </c>
      <c r="H561" s="100">
        <v>0</v>
      </c>
      <c r="I561" s="100">
        <v>33464.923998879982</v>
      </c>
      <c r="J561" s="100">
        <f t="shared" si="8"/>
        <v>33464.923998879982</v>
      </c>
      <c r="K561" s="100">
        <v>0</v>
      </c>
      <c r="L561" s="100">
        <v>33879.166534462282</v>
      </c>
      <c r="M561" s="100">
        <v>0</v>
      </c>
      <c r="N561" s="100">
        <v>28680.073310308981</v>
      </c>
      <c r="O561" s="100">
        <v>0</v>
      </c>
      <c r="P561" s="100">
        <v>65708.378271800844</v>
      </c>
      <c r="Q561" s="97" t="s">
        <v>737</v>
      </c>
    </row>
    <row r="562" spans="1:17">
      <c r="A562" s="98">
        <v>561</v>
      </c>
      <c r="B562" s="99" t="s">
        <v>1471</v>
      </c>
      <c r="C562" s="99" t="s">
        <v>664</v>
      </c>
      <c r="D562" s="99" t="s">
        <v>665</v>
      </c>
      <c r="E562" s="99" t="s">
        <v>1472</v>
      </c>
      <c r="F562" s="99" t="s">
        <v>120</v>
      </c>
      <c r="G562" s="99" t="s">
        <v>121</v>
      </c>
      <c r="H562" s="100">
        <v>0</v>
      </c>
      <c r="I562" s="100">
        <v>32601.838631492876</v>
      </c>
      <c r="J562" s="100">
        <f t="shared" si="8"/>
        <v>32601.838631492876</v>
      </c>
      <c r="K562" s="100">
        <v>0</v>
      </c>
      <c r="L562" s="100">
        <v>33168.994861853833</v>
      </c>
      <c r="M562" s="100">
        <v>0</v>
      </c>
      <c r="N562" s="100">
        <v>25816.599977718368</v>
      </c>
      <c r="O562" s="100">
        <v>0</v>
      </c>
      <c r="P562" s="100">
        <v>64013.710152936263</v>
      </c>
      <c r="Q562" s="97" t="s">
        <v>738</v>
      </c>
    </row>
    <row r="563" spans="1:17">
      <c r="A563" s="98">
        <v>562</v>
      </c>
      <c r="B563" s="99" t="s">
        <v>1473</v>
      </c>
      <c r="C563" s="99" t="s">
        <v>1474</v>
      </c>
      <c r="D563" s="99" t="s">
        <v>457</v>
      </c>
      <c r="E563" s="99" t="s">
        <v>1475</v>
      </c>
      <c r="F563" s="99" t="s">
        <v>114</v>
      </c>
      <c r="G563" s="99" t="s">
        <v>121</v>
      </c>
      <c r="H563" s="100">
        <v>0</v>
      </c>
      <c r="I563" s="100">
        <v>34491.168559238213</v>
      </c>
      <c r="J563" s="100">
        <f t="shared" si="8"/>
        <v>34491.168559238213</v>
      </c>
      <c r="K563" s="100">
        <v>0</v>
      </c>
      <c r="L563" s="100">
        <v>36085.802436290549</v>
      </c>
      <c r="M563" s="100">
        <v>0</v>
      </c>
      <c r="N563" s="100">
        <v>28564.925404572092</v>
      </c>
      <c r="O563" s="100">
        <v>0</v>
      </c>
      <c r="P563" s="100">
        <v>67492.318636717333</v>
      </c>
      <c r="Q563" s="97" t="s">
        <v>738</v>
      </c>
    </row>
    <row r="564" spans="1:17">
      <c r="A564" s="98">
        <v>563</v>
      </c>
      <c r="B564" s="99" t="s">
        <v>1476</v>
      </c>
      <c r="C564" s="99" t="s">
        <v>470</v>
      </c>
      <c r="D564" s="99" t="s">
        <v>471</v>
      </c>
      <c r="E564" s="99" t="s">
        <v>1477</v>
      </c>
      <c r="F564" s="99" t="s">
        <v>115</v>
      </c>
      <c r="G564" s="99" t="s">
        <v>121</v>
      </c>
      <c r="H564" s="100">
        <v>0</v>
      </c>
      <c r="I564" s="100">
        <v>32675.215918281127</v>
      </c>
      <c r="J564" s="100">
        <f t="shared" si="8"/>
        <v>32675.215918281127</v>
      </c>
      <c r="K564" s="100">
        <v>0</v>
      </c>
      <c r="L564" s="100">
        <v>33095.3184733659</v>
      </c>
      <c r="M564" s="100">
        <v>0</v>
      </c>
      <c r="N564" s="100">
        <v>27743.523813580457</v>
      </c>
      <c r="O564" s="100">
        <v>0</v>
      </c>
      <c r="P564" s="100">
        <v>63886.582163423263</v>
      </c>
      <c r="Q564" s="97" t="s">
        <v>738</v>
      </c>
    </row>
    <row r="565" spans="1:17">
      <c r="A565" s="98">
        <v>564</v>
      </c>
      <c r="B565" s="99" t="s">
        <v>1478</v>
      </c>
      <c r="C565" s="99" t="s">
        <v>664</v>
      </c>
      <c r="D565" s="99" t="s">
        <v>665</v>
      </c>
      <c r="E565" s="99" t="s">
        <v>1479</v>
      </c>
      <c r="F565" s="99" t="s">
        <v>120</v>
      </c>
      <c r="G565" s="99" t="s">
        <v>121</v>
      </c>
      <c r="H565" s="100">
        <v>0</v>
      </c>
      <c r="I565" s="100">
        <v>28323.573731500295</v>
      </c>
      <c r="J565" s="100">
        <f t="shared" si="8"/>
        <v>28323.573731500295</v>
      </c>
      <c r="K565" s="100">
        <v>0</v>
      </c>
      <c r="L565" s="100">
        <v>28737.81626708258</v>
      </c>
      <c r="M565" s="100">
        <v>0</v>
      </c>
      <c r="N565" s="100">
        <v>23538.72304292929</v>
      </c>
      <c r="O565" s="100">
        <v>0</v>
      </c>
      <c r="P565" s="100">
        <v>55613.337021800835</v>
      </c>
      <c r="Q565" s="97" t="s">
        <v>737</v>
      </c>
    </row>
    <row r="566" spans="1:17">
      <c r="A566" s="98">
        <v>565</v>
      </c>
      <c r="B566" s="99" t="s">
        <v>1480</v>
      </c>
      <c r="C566" s="99" t="s">
        <v>630</v>
      </c>
      <c r="D566" s="99" t="s">
        <v>631</v>
      </c>
      <c r="E566" s="99" t="s">
        <v>1481</v>
      </c>
      <c r="F566" s="99" t="s">
        <v>115</v>
      </c>
      <c r="G566" s="99" t="s">
        <v>121</v>
      </c>
      <c r="H566" s="100">
        <v>0</v>
      </c>
      <c r="I566" s="100">
        <v>39180.69266349791</v>
      </c>
      <c r="J566" s="100">
        <f t="shared" si="8"/>
        <v>39180.69266349791</v>
      </c>
      <c r="K566" s="100">
        <v>0</v>
      </c>
      <c r="L566" s="100">
        <v>41026.940764780564</v>
      </c>
      <c r="M566" s="100">
        <v>0</v>
      </c>
      <c r="N566" s="100">
        <v>30058.550352354818</v>
      </c>
      <c r="O566" s="100">
        <v>0</v>
      </c>
      <c r="P566" s="100">
        <v>76676.615542465399</v>
      </c>
      <c r="Q566" s="97" t="s">
        <v>738</v>
      </c>
    </row>
    <row r="567" spans="1:17">
      <c r="A567" s="98">
        <v>566</v>
      </c>
      <c r="B567" s="99" t="s">
        <v>1482</v>
      </c>
      <c r="C567" s="99" t="s">
        <v>664</v>
      </c>
      <c r="D567" s="99" t="s">
        <v>665</v>
      </c>
      <c r="E567" s="99" t="s">
        <v>1483</v>
      </c>
      <c r="F567" s="99" t="s">
        <v>120</v>
      </c>
      <c r="G567" s="99" t="s">
        <v>121</v>
      </c>
      <c r="H567" s="100">
        <v>0</v>
      </c>
      <c r="I567" s="100">
        <v>38238.395227303918</v>
      </c>
      <c r="J567" s="100">
        <f t="shared" si="8"/>
        <v>38238.395227303918</v>
      </c>
      <c r="K567" s="100">
        <v>0</v>
      </c>
      <c r="L567" s="100">
        <v>38865.501991978614</v>
      </c>
      <c r="M567" s="100">
        <v>0</v>
      </c>
      <c r="N567" s="100">
        <v>30688.099754901963</v>
      </c>
      <c r="O567" s="100">
        <v>0</v>
      </c>
      <c r="P567" s="100">
        <v>75081.089028811257</v>
      </c>
      <c r="Q567" s="97" t="s">
        <v>738</v>
      </c>
    </row>
    <row r="568" spans="1:17">
      <c r="A568" s="98">
        <v>567</v>
      </c>
      <c r="B568" s="99" t="s">
        <v>1484</v>
      </c>
      <c r="C568" s="99" t="s">
        <v>664</v>
      </c>
      <c r="D568" s="99" t="s">
        <v>665</v>
      </c>
      <c r="E568" s="99" t="s">
        <v>1485</v>
      </c>
      <c r="F568" s="99" t="s">
        <v>120</v>
      </c>
      <c r="G568" s="99" t="s">
        <v>121</v>
      </c>
      <c r="H568" s="100">
        <v>0</v>
      </c>
      <c r="I568" s="100">
        <v>31687.403945404047</v>
      </c>
      <c r="J568" s="100">
        <f t="shared" si="8"/>
        <v>31687.403945404047</v>
      </c>
      <c r="K568" s="100">
        <v>0</v>
      </c>
      <c r="L568" s="100">
        <v>32101.646480986339</v>
      </c>
      <c r="M568" s="100">
        <v>0</v>
      </c>
      <c r="N568" s="100">
        <v>26902.553256833042</v>
      </c>
      <c r="O568" s="100">
        <v>0</v>
      </c>
      <c r="P568" s="100">
        <v>62218.217646800855</v>
      </c>
      <c r="Q568" s="97" t="s">
        <v>737</v>
      </c>
    </row>
    <row r="569" spans="1:17">
      <c r="A569" s="98">
        <v>568</v>
      </c>
      <c r="B569" s="99" t="s">
        <v>1486</v>
      </c>
      <c r="C569" s="99" t="s">
        <v>664</v>
      </c>
      <c r="D569" s="99" t="s">
        <v>665</v>
      </c>
      <c r="E569" s="99" t="s">
        <v>1487</v>
      </c>
      <c r="F569" s="99" t="s">
        <v>120</v>
      </c>
      <c r="G569" s="99" t="s">
        <v>121</v>
      </c>
      <c r="H569" s="100">
        <v>0</v>
      </c>
      <c r="I569" s="100">
        <v>47083.482472067735</v>
      </c>
      <c r="J569" s="100">
        <f t="shared" si="8"/>
        <v>47083.482472067735</v>
      </c>
      <c r="K569" s="100">
        <v>0</v>
      </c>
      <c r="L569" s="100">
        <v>47803.547669340463</v>
      </c>
      <c r="M569" s="100">
        <v>0</v>
      </c>
      <c r="N569" s="100">
        <v>38346.900946969698</v>
      </c>
      <c r="O569" s="100">
        <v>0</v>
      </c>
      <c r="P569" s="100">
        <v>92448.417833904998</v>
      </c>
      <c r="Q569" s="97" t="s">
        <v>738</v>
      </c>
    </row>
    <row r="570" spans="1:17">
      <c r="A570" s="98">
        <v>569</v>
      </c>
      <c r="B570" s="99" t="s">
        <v>1488</v>
      </c>
      <c r="C570" s="99" t="s">
        <v>664</v>
      </c>
      <c r="D570" s="99" t="s">
        <v>665</v>
      </c>
      <c r="E570" s="99" t="s">
        <v>1489</v>
      </c>
      <c r="F570" s="99" t="s">
        <v>120</v>
      </c>
      <c r="G570" s="99" t="s">
        <v>121</v>
      </c>
      <c r="H570" s="100">
        <v>0</v>
      </c>
      <c r="I570" s="100">
        <v>35233.98228868984</v>
      </c>
      <c r="J570" s="100">
        <f t="shared" si="8"/>
        <v>35233.98228868984</v>
      </c>
      <c r="K570" s="100">
        <v>0</v>
      </c>
      <c r="L570" s="100">
        <v>35859.263801247776</v>
      </c>
      <c r="M570" s="100">
        <v>0</v>
      </c>
      <c r="N570" s="100">
        <v>27706.979712566852</v>
      </c>
      <c r="O570" s="100">
        <v>0</v>
      </c>
      <c r="P570" s="100">
        <v>69181.924223842507</v>
      </c>
      <c r="Q570" s="97" t="s">
        <v>738</v>
      </c>
    </row>
    <row r="571" spans="1:17">
      <c r="A571" s="98">
        <v>570</v>
      </c>
      <c r="B571" s="99" t="s">
        <v>1490</v>
      </c>
      <c r="C571" s="99" t="s">
        <v>630</v>
      </c>
      <c r="D571" s="99" t="s">
        <v>631</v>
      </c>
      <c r="E571" s="99" t="s">
        <v>1491</v>
      </c>
      <c r="F571" s="99" t="s">
        <v>115</v>
      </c>
      <c r="G571" s="99" t="s">
        <v>121</v>
      </c>
      <c r="H571" s="100">
        <v>0</v>
      </c>
      <c r="I571" s="100">
        <v>38421.219034580368</v>
      </c>
      <c r="J571" s="100">
        <f t="shared" si="8"/>
        <v>38421.219034580368</v>
      </c>
      <c r="K571" s="100">
        <v>0</v>
      </c>
      <c r="L571" s="100">
        <v>40072.924800260647</v>
      </c>
      <c r="M571" s="100">
        <v>0</v>
      </c>
      <c r="N571" s="100">
        <v>30015.062438323879</v>
      </c>
      <c r="O571" s="100">
        <v>0</v>
      </c>
      <c r="P571" s="100">
        <v>75190.325650673782</v>
      </c>
      <c r="Q571" s="97" t="s">
        <v>738</v>
      </c>
    </row>
    <row r="572" spans="1:17">
      <c r="A572" s="98">
        <v>571</v>
      </c>
      <c r="B572" s="99" t="s">
        <v>1492</v>
      </c>
      <c r="C572" s="99" t="s">
        <v>664</v>
      </c>
      <c r="D572" s="99" t="s">
        <v>665</v>
      </c>
      <c r="E572" s="99" t="s">
        <v>1493</v>
      </c>
      <c r="F572" s="99" t="s">
        <v>120</v>
      </c>
      <c r="G572" s="99" t="s">
        <v>121</v>
      </c>
      <c r="H572" s="100">
        <v>0</v>
      </c>
      <c r="I572" s="100">
        <v>41153.27954058379</v>
      </c>
      <c r="J572" s="100">
        <f t="shared" si="8"/>
        <v>41153.27954058379</v>
      </c>
      <c r="K572" s="100">
        <v>0</v>
      </c>
      <c r="L572" s="100">
        <v>41699.16036987523</v>
      </c>
      <c r="M572" s="100">
        <v>0</v>
      </c>
      <c r="N572" s="100">
        <v>34688.530993761146</v>
      </c>
      <c r="O572" s="100">
        <v>0</v>
      </c>
      <c r="P572" s="100">
        <v>80804.464377936267</v>
      </c>
      <c r="Q572" s="97" t="s">
        <v>738</v>
      </c>
    </row>
    <row r="573" spans="1:17">
      <c r="A573" s="98">
        <v>572</v>
      </c>
      <c r="B573" s="99" t="s">
        <v>1494</v>
      </c>
      <c r="C573" s="99" t="s">
        <v>664</v>
      </c>
      <c r="D573" s="99" t="s">
        <v>665</v>
      </c>
      <c r="E573" s="99" t="s">
        <v>1495</v>
      </c>
      <c r="F573" s="99" t="s">
        <v>120</v>
      </c>
      <c r="G573" s="99" t="s">
        <v>121</v>
      </c>
      <c r="H573" s="100">
        <v>0</v>
      </c>
      <c r="I573" s="100">
        <v>40770.729608988418</v>
      </c>
      <c r="J573" s="100">
        <f t="shared" si="8"/>
        <v>40770.729608988418</v>
      </c>
      <c r="K573" s="100">
        <v>0</v>
      </c>
      <c r="L573" s="100">
        <v>41409.245307486643</v>
      </c>
      <c r="M573" s="100">
        <v>0</v>
      </c>
      <c r="N573" s="100">
        <v>33074.839393939401</v>
      </c>
      <c r="O573" s="100">
        <v>0</v>
      </c>
      <c r="P573" s="100">
        <v>80053.327587248757</v>
      </c>
      <c r="Q573" s="97" t="s">
        <v>738</v>
      </c>
    </row>
    <row r="574" spans="1:17">
      <c r="A574" s="98">
        <v>573</v>
      </c>
      <c r="B574" s="99" t="s">
        <v>1496</v>
      </c>
      <c r="C574" s="99" t="s">
        <v>600</v>
      </c>
      <c r="D574" s="99" t="s">
        <v>601</v>
      </c>
      <c r="E574" s="99" t="s">
        <v>600</v>
      </c>
      <c r="F574" s="99" t="s">
        <v>114</v>
      </c>
      <c r="G574" s="99" t="s">
        <v>121</v>
      </c>
      <c r="H574" s="100">
        <v>0</v>
      </c>
      <c r="I574" s="100">
        <v>38916.284944129286</v>
      </c>
      <c r="J574" s="100">
        <f t="shared" si="8"/>
        <v>38916.284944129286</v>
      </c>
      <c r="K574" s="100">
        <v>0</v>
      </c>
      <c r="L574" s="100">
        <v>40858.452949006103</v>
      </c>
      <c r="M574" s="100">
        <v>0</v>
      </c>
      <c r="N574" s="100">
        <v>34114.767636212891</v>
      </c>
      <c r="O574" s="100">
        <v>0</v>
      </c>
      <c r="P574" s="100">
        <v>76435.475258764316</v>
      </c>
      <c r="Q574" s="97" t="s">
        <v>738</v>
      </c>
    </row>
    <row r="575" spans="1:17">
      <c r="A575" s="98">
        <v>574</v>
      </c>
      <c r="B575" s="99" t="s">
        <v>1497</v>
      </c>
      <c r="C575" s="99" t="s">
        <v>664</v>
      </c>
      <c r="D575" s="99" t="s">
        <v>665</v>
      </c>
      <c r="E575" s="99" t="s">
        <v>1498</v>
      </c>
      <c r="F575" s="99" t="s">
        <v>120</v>
      </c>
      <c r="G575" s="99" t="s">
        <v>121</v>
      </c>
      <c r="H575" s="100">
        <v>0</v>
      </c>
      <c r="I575" s="100">
        <v>44225.032187308389</v>
      </c>
      <c r="J575" s="100">
        <f t="shared" si="8"/>
        <v>44225.032187308389</v>
      </c>
      <c r="K575" s="100">
        <v>0</v>
      </c>
      <c r="L575" s="100">
        <v>44866.474139928709</v>
      </c>
      <c r="M575" s="100">
        <v>0</v>
      </c>
      <c r="N575" s="100">
        <v>36491.798674242433</v>
      </c>
      <c r="O575" s="100">
        <v>0</v>
      </c>
      <c r="P575" s="100">
        <v>86835.850699780014</v>
      </c>
      <c r="Q575" s="97" t="s">
        <v>738</v>
      </c>
    </row>
    <row r="576" spans="1:17">
      <c r="A576" s="98">
        <v>575</v>
      </c>
      <c r="B576" s="99" t="s">
        <v>1499</v>
      </c>
      <c r="C576" s="99" t="s">
        <v>664</v>
      </c>
      <c r="D576" s="99" t="s">
        <v>665</v>
      </c>
      <c r="E576" s="99" t="s">
        <v>1500</v>
      </c>
      <c r="F576" s="99" t="s">
        <v>120</v>
      </c>
      <c r="G576" s="99" t="s">
        <v>121</v>
      </c>
      <c r="H576" s="100">
        <v>0</v>
      </c>
      <c r="I576" s="100">
        <v>60157.713050276296</v>
      </c>
      <c r="J576" s="100">
        <f t="shared" si="8"/>
        <v>60157.713050276296</v>
      </c>
      <c r="K576" s="100">
        <v>0</v>
      </c>
      <c r="L576" s="100">
        <v>60867.752214795008</v>
      </c>
      <c r="M576" s="100">
        <v>0</v>
      </c>
      <c r="N576" s="100">
        <v>51549.07842023173</v>
      </c>
      <c r="O576" s="100">
        <v>0</v>
      </c>
      <c r="P576" s="100">
        <v>118119.66957421752</v>
      </c>
      <c r="Q576" s="97" t="s">
        <v>738</v>
      </c>
    </row>
    <row r="577" spans="1:17">
      <c r="A577" s="98">
        <v>576</v>
      </c>
      <c r="B577" s="99" t="s">
        <v>1501</v>
      </c>
      <c r="C577" s="99" t="s">
        <v>664</v>
      </c>
      <c r="D577" s="99" t="s">
        <v>665</v>
      </c>
      <c r="E577" s="99" t="s">
        <v>1502</v>
      </c>
      <c r="F577" s="99" t="s">
        <v>120</v>
      </c>
      <c r="G577" s="99" t="s">
        <v>121</v>
      </c>
      <c r="H577" s="100">
        <v>0</v>
      </c>
      <c r="I577" s="100">
        <v>42452.204737664884</v>
      </c>
      <c r="J577" s="100">
        <f t="shared" si="8"/>
        <v>42452.204737664884</v>
      </c>
      <c r="K577" s="100">
        <v>0</v>
      </c>
      <c r="L577" s="100">
        <v>43001.882339572199</v>
      </c>
      <c r="M577" s="100">
        <v>0</v>
      </c>
      <c r="N577" s="100">
        <v>35890.019039661318</v>
      </c>
      <c r="O577" s="100">
        <v>0</v>
      </c>
      <c r="P577" s="100">
        <v>83354.904002405005</v>
      </c>
      <c r="Q577" s="97" t="s">
        <v>738</v>
      </c>
    </row>
    <row r="578" spans="1:17">
      <c r="A578" s="98">
        <v>577</v>
      </c>
      <c r="B578" s="99" t="s">
        <v>1503</v>
      </c>
      <c r="C578" s="99" t="s">
        <v>664</v>
      </c>
      <c r="D578" s="99" t="s">
        <v>665</v>
      </c>
      <c r="E578" s="99" t="s">
        <v>1504</v>
      </c>
      <c r="F578" s="99" t="s">
        <v>120</v>
      </c>
      <c r="G578" s="99" t="s">
        <v>121</v>
      </c>
      <c r="H578" s="100">
        <v>0</v>
      </c>
      <c r="I578" s="100">
        <v>46198.632351189837</v>
      </c>
      <c r="J578" s="100">
        <f t="shared" si="8"/>
        <v>46198.632351189837</v>
      </c>
      <c r="K578" s="100">
        <v>0</v>
      </c>
      <c r="L578" s="100">
        <v>46968.078640819971</v>
      </c>
      <c r="M578" s="100">
        <v>0</v>
      </c>
      <c r="N578" s="100">
        <v>36831.875601604283</v>
      </c>
      <c r="O578" s="100">
        <v>0</v>
      </c>
      <c r="P578" s="100">
        <v>90711.014621561248</v>
      </c>
      <c r="Q578" s="97" t="s">
        <v>738</v>
      </c>
    </row>
    <row r="579" spans="1:17">
      <c r="A579" s="98">
        <v>578</v>
      </c>
      <c r="B579" s="99" t="s">
        <v>1505</v>
      </c>
      <c r="C579" s="99" t="s">
        <v>664</v>
      </c>
      <c r="D579" s="99" t="s">
        <v>665</v>
      </c>
      <c r="E579" s="99" t="s">
        <v>1506</v>
      </c>
      <c r="F579" s="99" t="s">
        <v>120</v>
      </c>
      <c r="G579" s="99" t="s">
        <v>121</v>
      </c>
      <c r="H579" s="100">
        <v>0</v>
      </c>
      <c r="I579" s="100">
        <v>14402.341378559122</v>
      </c>
      <c r="J579" s="100">
        <f t="shared" ref="J579" si="9">IF(H579=0,I579,AVERAGE(H579:I579))</f>
        <v>14402.341378559122</v>
      </c>
      <c r="K579" s="100">
        <v>0</v>
      </c>
      <c r="L579" s="100">
        <v>14816.58391414142</v>
      </c>
      <c r="M579" s="100">
        <v>0</v>
      </c>
      <c r="N579" s="100">
        <v>9568.5059306298299</v>
      </c>
      <c r="O579" s="100">
        <v>0</v>
      </c>
      <c r="P579" s="100">
        <v>28278.997296800837</v>
      </c>
      <c r="Q579" s="97" t="s">
        <v>787</v>
      </c>
    </row>
    <row r="584" spans="1:17">
      <c r="H584" s="101"/>
      <c r="I584" s="101"/>
      <c r="J584" s="101"/>
      <c r="K584" s="101"/>
      <c r="L584" s="101"/>
      <c r="M584" s="101"/>
      <c r="N584" s="101"/>
      <c r="O584" s="101"/>
      <c r="P584" s="102"/>
      <c r="Q584" s="101"/>
    </row>
    <row r="585" spans="1:17">
      <c r="H585" s="101"/>
      <c r="I585" s="101"/>
      <c r="J585" s="101"/>
      <c r="K585" s="101"/>
      <c r="L585" s="101"/>
      <c r="M585" s="101"/>
      <c r="N585" s="101"/>
      <c r="O585" s="101"/>
      <c r="P585" s="102"/>
      <c r="Q585" s="101"/>
    </row>
  </sheetData>
  <autoFilter ref="A1:Q579" xr:uid="{91348850-E263-2B4F-A7A0-5C3415F7D69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523C4-6061-1A4D-A8AD-03FAF230F388}">
  <sheetPr>
    <tabColor theme="8"/>
  </sheetPr>
  <dimension ref="A1:I204"/>
  <sheetViews>
    <sheetView showGridLines="0" zoomScale="130" zoomScaleNormal="130" workbookViewId="0">
      <pane ySplit="1" topLeftCell="A2" activePane="bottomLeft" state="frozen"/>
      <selection activeCell="B43" sqref="B43"/>
      <selection pane="bottomLeft" activeCell="B43" sqref="B43"/>
    </sheetView>
  </sheetViews>
  <sheetFormatPr defaultColWidth="10.69921875" defaultRowHeight="15.6"/>
  <cols>
    <col min="1" max="1" width="19.5" customWidth="1"/>
    <col min="3" max="3" width="21.5" bestFit="1" customWidth="1"/>
    <col min="4" max="4" width="23.296875" customWidth="1"/>
    <col min="5" max="5" width="17.19921875" customWidth="1"/>
    <col min="6" max="6" width="17.296875" customWidth="1"/>
    <col min="7" max="7" width="15.296875" customWidth="1"/>
    <col min="8" max="8" width="12.296875" customWidth="1"/>
  </cols>
  <sheetData>
    <row r="1" spans="1:9" s="26" customFormat="1" ht="47.4" thickBot="1">
      <c r="A1" s="22" t="s">
        <v>1507</v>
      </c>
      <c r="B1" s="22" t="s">
        <v>37</v>
      </c>
      <c r="C1" s="22" t="s">
        <v>1508</v>
      </c>
      <c r="D1" s="22" t="s">
        <v>1509</v>
      </c>
      <c r="E1" s="23" t="s">
        <v>1510</v>
      </c>
      <c r="F1" s="24" t="s">
        <v>1753</v>
      </c>
      <c r="G1" s="24" t="s">
        <v>1754</v>
      </c>
      <c r="H1" s="25" t="s">
        <v>1752</v>
      </c>
    </row>
    <row r="2" spans="1:9">
      <c r="A2" s="19" t="s">
        <v>317</v>
      </c>
      <c r="B2" s="19" t="s">
        <v>318</v>
      </c>
      <c r="C2" s="19" t="s">
        <v>118</v>
      </c>
      <c r="D2" s="19" t="s">
        <v>319</v>
      </c>
      <c r="E2" s="20">
        <v>0.82299999999999995</v>
      </c>
      <c r="F2" s="21">
        <v>5741.1701853594386</v>
      </c>
      <c r="G2" s="27">
        <v>3.5837641692748142E-5</v>
      </c>
      <c r="H2" s="29">
        <f>G2*'Parameters (Generic)'!$B$3</f>
        <v>2.130404448067106</v>
      </c>
      <c r="I2" s="224"/>
    </row>
    <row r="3" spans="1:9">
      <c r="A3" s="2" t="s">
        <v>320</v>
      </c>
      <c r="B3" s="2" t="s">
        <v>321</v>
      </c>
      <c r="C3" s="2" t="s">
        <v>115</v>
      </c>
      <c r="D3" s="2" t="s">
        <v>322</v>
      </c>
      <c r="E3" s="17">
        <v>0.307</v>
      </c>
      <c r="F3" s="21">
        <v>8016.7291330988064</v>
      </c>
      <c r="G3" s="28">
        <v>9.5737299746253068E-6</v>
      </c>
      <c r="H3" s="29">
        <f>G3*'Parameters (Generic)'!$B$3</f>
        <v>0.56911995207157595</v>
      </c>
    </row>
    <row r="4" spans="1:9">
      <c r="A4" s="2" t="s">
        <v>323</v>
      </c>
      <c r="B4" s="2" t="s">
        <v>324</v>
      </c>
      <c r="C4" s="2" t="s">
        <v>117</v>
      </c>
      <c r="D4" s="2" t="s">
        <v>325</v>
      </c>
      <c r="E4" s="17">
        <v>0.39200000000000002</v>
      </c>
      <c r="F4" s="21">
        <v>5583.3330096737027</v>
      </c>
      <c r="G4" s="28">
        <v>1.7552239823453994E-5</v>
      </c>
      <c r="H4" s="29">
        <f>G4*'Parameters (Generic)'!$B$3</f>
        <v>1.0434104485450462</v>
      </c>
    </row>
    <row r="5" spans="1:9">
      <c r="A5" s="2" t="s">
        <v>326</v>
      </c>
      <c r="B5" s="2" t="s">
        <v>327</v>
      </c>
      <c r="C5" s="2" t="s">
        <v>119</v>
      </c>
      <c r="D5" s="2" t="s">
        <v>325</v>
      </c>
      <c r="E5" s="17">
        <v>0.69599999999999995</v>
      </c>
      <c r="F5" s="21">
        <v>10313.09280130046</v>
      </c>
      <c r="G5" s="28">
        <v>1.6871757420631272E-5</v>
      </c>
      <c r="H5" s="29">
        <f>G5*'Parameters (Generic)'!$B$3</f>
        <v>1.0029584916268466</v>
      </c>
    </row>
    <row r="6" spans="1:9">
      <c r="A6" s="18" t="s">
        <v>328</v>
      </c>
      <c r="B6" s="2" t="s">
        <v>329</v>
      </c>
      <c r="C6" s="2" t="s">
        <v>116</v>
      </c>
      <c r="D6" s="2" t="s">
        <v>121</v>
      </c>
      <c r="E6" s="17">
        <v>0.33800000000000002</v>
      </c>
      <c r="F6" s="21">
        <v>17154.385940313674</v>
      </c>
      <c r="G6" s="28">
        <v>4.925853964928044E-6</v>
      </c>
      <c r="H6" s="29">
        <f>G6*'Parameters (Generic)'!$B$3</f>
        <v>0.29282231479911253</v>
      </c>
    </row>
    <row r="7" spans="1:9">
      <c r="A7" s="2" t="s">
        <v>330</v>
      </c>
      <c r="B7" s="2" t="s">
        <v>331</v>
      </c>
      <c r="C7" s="2" t="s">
        <v>116</v>
      </c>
      <c r="D7" s="2" t="s">
        <v>322</v>
      </c>
      <c r="E7" s="17">
        <v>0.216</v>
      </c>
      <c r="F7" s="21">
        <v>7941.123188541932</v>
      </c>
      <c r="G7" s="28">
        <v>6.8000456255250375E-6</v>
      </c>
      <c r="H7" s="29">
        <f>G7*'Parameters (Generic)'!$B$3</f>
        <v>0.4042355122549614</v>
      </c>
    </row>
    <row r="8" spans="1:9">
      <c r="A8" s="2" t="s">
        <v>332</v>
      </c>
      <c r="B8" s="2" t="s">
        <v>333</v>
      </c>
      <c r="C8" s="2" t="s">
        <v>115</v>
      </c>
      <c r="D8" s="2" t="s">
        <v>322</v>
      </c>
      <c r="E8" s="17">
        <v>0.34100000000000003</v>
      </c>
      <c r="F8" s="21">
        <v>17242.294671759824</v>
      </c>
      <c r="G8" s="28">
        <v>4.9442375056741222E-6</v>
      </c>
      <c r="H8" s="29">
        <f>G8*'Parameters (Generic)'!$B$3</f>
        <v>0.29391514276230385</v>
      </c>
    </row>
    <row r="9" spans="1:9">
      <c r="A9" s="2" t="s">
        <v>334</v>
      </c>
      <c r="B9" s="2" t="s">
        <v>335</v>
      </c>
      <c r="C9" s="2" t="s">
        <v>114</v>
      </c>
      <c r="D9" s="2" t="s">
        <v>121</v>
      </c>
      <c r="E9" s="17">
        <v>0.115</v>
      </c>
      <c r="F9" s="21">
        <v>23709.319399612788</v>
      </c>
      <c r="G9" s="28">
        <v>1.2126033445088911E-6</v>
      </c>
      <c r="H9" s="29">
        <f>G9*'Parameters (Generic)'!$B$3</f>
        <v>7.2084418417675544E-2</v>
      </c>
    </row>
    <row r="10" spans="1:9">
      <c r="A10" s="2" t="s">
        <v>336</v>
      </c>
      <c r="B10" s="2" t="s">
        <v>337</v>
      </c>
      <c r="C10" s="2" t="s">
        <v>115</v>
      </c>
      <c r="D10" s="2" t="s">
        <v>121</v>
      </c>
      <c r="E10" s="17">
        <v>0.105</v>
      </c>
      <c r="F10" s="21">
        <v>17751.214910094146</v>
      </c>
      <c r="G10" s="28">
        <v>1.4787720239403478E-6</v>
      </c>
      <c r="H10" s="29">
        <f>G10*'Parameters (Generic)'!$B$3</f>
        <v>8.7907081735157919E-2</v>
      </c>
    </row>
    <row r="11" spans="1:9">
      <c r="A11" s="2" t="s">
        <v>338</v>
      </c>
      <c r="B11" s="2" t="s">
        <v>339</v>
      </c>
      <c r="C11" s="2" t="s">
        <v>115</v>
      </c>
      <c r="D11" s="2" t="s">
        <v>322</v>
      </c>
      <c r="E11" s="17">
        <v>0.378</v>
      </c>
      <c r="F11" s="21">
        <v>7098.5442315878572</v>
      </c>
      <c r="G11" s="28">
        <v>1.3312588738897175E-5</v>
      </c>
      <c r="H11" s="29">
        <f>G11*'Parameters (Generic)'!$B$3</f>
        <v>0.79138015017248142</v>
      </c>
    </row>
    <row r="12" spans="1:9">
      <c r="A12" s="18" t="s">
        <v>340</v>
      </c>
      <c r="B12" s="2" t="s">
        <v>341</v>
      </c>
      <c r="C12" s="2" t="s">
        <v>116</v>
      </c>
      <c r="D12" s="2" t="s">
        <v>121</v>
      </c>
      <c r="E12" s="17">
        <v>0.27200000000000002</v>
      </c>
      <c r="F12" s="21">
        <v>17424.003643145457</v>
      </c>
      <c r="G12" s="28">
        <v>3.9026621775731188E-6</v>
      </c>
      <c r="H12" s="29">
        <f>G12*'Parameters (Generic)'!$B$3</f>
        <v>0.23199765580801163</v>
      </c>
    </row>
    <row r="13" spans="1:9">
      <c r="A13" s="2" t="s">
        <v>342</v>
      </c>
      <c r="B13" s="2" t="s">
        <v>343</v>
      </c>
      <c r="C13" s="2" t="s">
        <v>118</v>
      </c>
      <c r="D13" s="2" t="s">
        <v>325</v>
      </c>
      <c r="E13" s="17">
        <v>0.60299999999999998</v>
      </c>
      <c r="F13" s="21">
        <v>4936.0332044762581</v>
      </c>
      <c r="G13" s="28">
        <v>3.0540718377520606E-5</v>
      </c>
      <c r="H13" s="29">
        <f>G13*'Parameters (Generic)'!$B$3</f>
        <v>1.8155235446700899</v>
      </c>
    </row>
    <row r="14" spans="1:9">
      <c r="A14" s="2" t="s">
        <v>344</v>
      </c>
      <c r="B14" s="2" t="s">
        <v>345</v>
      </c>
      <c r="C14" s="2" t="s">
        <v>116</v>
      </c>
      <c r="D14" s="2" t="s">
        <v>121</v>
      </c>
      <c r="E14" s="17">
        <v>0.27200000000000002</v>
      </c>
      <c r="F14" s="21">
        <v>24636.15013834276</v>
      </c>
      <c r="G14" s="28">
        <v>2.7601715210432743E-6</v>
      </c>
      <c r="H14" s="29">
        <f>G14*'Parameters (Generic)'!$B$3</f>
        <v>0.16408115623993849</v>
      </c>
    </row>
    <row r="15" spans="1:9">
      <c r="A15" s="2" t="s">
        <v>346</v>
      </c>
      <c r="B15" s="2" t="s">
        <v>347</v>
      </c>
      <c r="C15" s="2" t="s">
        <v>115</v>
      </c>
      <c r="D15" s="2" t="s">
        <v>322</v>
      </c>
      <c r="E15" s="17">
        <v>0.25600000000000001</v>
      </c>
      <c r="F15" s="21">
        <v>7205.6006823128355</v>
      </c>
      <c r="G15" s="28">
        <v>8.8819798406393849E-6</v>
      </c>
      <c r="H15" s="29">
        <f>G15*'Parameters (Generic)'!$B$3</f>
        <v>0.52799817360664891</v>
      </c>
    </row>
    <row r="16" spans="1:9">
      <c r="A16" s="2" t="s">
        <v>348</v>
      </c>
      <c r="B16" s="2" t="s">
        <v>349</v>
      </c>
      <c r="C16" s="2" t="s">
        <v>115</v>
      </c>
      <c r="D16" s="2" t="s">
        <v>121</v>
      </c>
      <c r="E16" s="17">
        <v>0.185</v>
      </c>
      <c r="F16" s="21">
        <v>18935.238116272212</v>
      </c>
      <c r="G16" s="28">
        <v>2.4425359594635642E-6</v>
      </c>
      <c r="H16" s="29">
        <f>G16*'Parameters (Generic)'!$B$3</f>
        <v>0.14519899264627104</v>
      </c>
    </row>
    <row r="17" spans="1:8">
      <c r="A17" s="2" t="s">
        <v>350</v>
      </c>
      <c r="B17" s="2" t="s">
        <v>351</v>
      </c>
      <c r="C17" s="2" t="s">
        <v>116</v>
      </c>
      <c r="D17" s="2" t="s">
        <v>322</v>
      </c>
      <c r="E17" s="17">
        <v>0.45</v>
      </c>
      <c r="F17" s="21">
        <v>14392.598680671419</v>
      </c>
      <c r="G17" s="28">
        <v>7.8165175376620613E-6</v>
      </c>
      <c r="H17" s="29">
        <f>G17*'Parameters (Generic)'!$B$3</f>
        <v>0.46466070154385891</v>
      </c>
    </row>
    <row r="18" spans="1:8">
      <c r="A18" s="2" t="s">
        <v>352</v>
      </c>
      <c r="B18" s="2" t="s">
        <v>353</v>
      </c>
      <c r="C18" s="2" t="s">
        <v>119</v>
      </c>
      <c r="D18" s="2" t="s">
        <v>325</v>
      </c>
      <c r="E18" s="17">
        <v>0.76100000000000001</v>
      </c>
      <c r="F18" s="21">
        <v>8021.373162836333</v>
      </c>
      <c r="G18" s="28">
        <v>2.371788422479128E-5</v>
      </c>
      <c r="H18" s="29">
        <f>G18*'Parameters (Generic)'!$B$3</f>
        <v>1.4099333456269425</v>
      </c>
    </row>
    <row r="19" spans="1:8">
      <c r="A19" s="2" t="s">
        <v>354</v>
      </c>
      <c r="B19" s="2" t="s">
        <v>355</v>
      </c>
      <c r="C19" s="2" t="s">
        <v>118</v>
      </c>
      <c r="D19" s="2" t="s">
        <v>325</v>
      </c>
      <c r="E19" s="17">
        <v>0.56299999999999994</v>
      </c>
      <c r="F19" s="21">
        <v>7120.3270364630198</v>
      </c>
      <c r="G19" s="28">
        <v>1.9767350471294746E-5</v>
      </c>
      <c r="H19" s="29">
        <f>G19*'Parameters (Generic)'!$B$3</f>
        <v>1.1750899161165875</v>
      </c>
    </row>
    <row r="20" spans="1:8">
      <c r="A20" s="2" t="s">
        <v>356</v>
      </c>
      <c r="B20" s="2" t="s">
        <v>357</v>
      </c>
      <c r="C20" s="2" t="s">
        <v>116</v>
      </c>
      <c r="D20" s="2" t="s">
        <v>325</v>
      </c>
      <c r="E20" s="17">
        <v>0.44700000000000001</v>
      </c>
      <c r="F20" s="21">
        <v>6781.7121748912978</v>
      </c>
      <c r="G20" s="28">
        <v>1.6478139608127976E-5</v>
      </c>
      <c r="H20" s="29">
        <f>G20*'Parameters (Generic)'!$B$3</f>
        <v>0.9795594871447757</v>
      </c>
    </row>
    <row r="21" spans="1:8">
      <c r="A21" s="2" t="s">
        <v>358</v>
      </c>
      <c r="B21" s="2" t="s">
        <v>359</v>
      </c>
      <c r="C21" s="2" t="s">
        <v>115</v>
      </c>
      <c r="D21" s="2" t="s">
        <v>322</v>
      </c>
      <c r="E21" s="17">
        <v>0.33400000000000002</v>
      </c>
      <c r="F21" s="21">
        <v>6218.8063342863261</v>
      </c>
      <c r="G21" s="28">
        <v>1.3427014046029544E-5</v>
      </c>
      <c r="H21" s="29">
        <f>G21*'Parameters (Generic)'!$B$3</f>
        <v>0.79818227698027233</v>
      </c>
    </row>
    <row r="22" spans="1:8">
      <c r="A22" s="2" t="s">
        <v>360</v>
      </c>
      <c r="B22" s="2" t="s">
        <v>361</v>
      </c>
      <c r="C22" s="2" t="s">
        <v>119</v>
      </c>
      <c r="D22" s="2" t="s">
        <v>322</v>
      </c>
      <c r="E22" s="17">
        <v>0.41599999999999998</v>
      </c>
      <c r="F22" s="21">
        <v>10146.834849809482</v>
      </c>
      <c r="G22" s="28">
        <v>1.0249501597234798E-5</v>
      </c>
      <c r="H22" s="29">
        <f>G22*'Parameters (Generic)'!$B$3</f>
        <v>0.60929187194921985</v>
      </c>
    </row>
    <row r="23" spans="1:8">
      <c r="A23" s="2" t="s">
        <v>362</v>
      </c>
      <c r="B23" s="2" t="s">
        <v>363</v>
      </c>
      <c r="C23" s="2" t="s">
        <v>116</v>
      </c>
      <c r="D23" s="2" t="s">
        <v>322</v>
      </c>
      <c r="E23" s="17">
        <v>0.36099999999999999</v>
      </c>
      <c r="F23" s="21">
        <v>7447.4348142089129</v>
      </c>
      <c r="G23" s="28">
        <v>1.2118266524174553E-5</v>
      </c>
      <c r="H23" s="29">
        <f>G23*'Parameters (Generic)'!$B$3</f>
        <v>0.7203824717960805</v>
      </c>
    </row>
    <row r="24" spans="1:8">
      <c r="A24" s="18" t="s">
        <v>364</v>
      </c>
      <c r="B24" s="2" t="s">
        <v>365</v>
      </c>
      <c r="C24" s="2" t="s">
        <v>114</v>
      </c>
      <c r="D24" s="2" t="s">
        <v>121</v>
      </c>
      <c r="E24" s="17">
        <v>0.22800000000000001</v>
      </c>
      <c r="F24" s="21">
        <v>12541.937402299718</v>
      </c>
      <c r="G24" s="28">
        <v>4.5447523912492461E-6</v>
      </c>
      <c r="H24" s="29">
        <f>G24*'Parameters (Generic)'!$B$3</f>
        <v>0.2701673506502027</v>
      </c>
    </row>
    <row r="25" spans="1:8">
      <c r="A25" s="2" t="s">
        <v>366</v>
      </c>
      <c r="B25" s="2" t="s">
        <v>367</v>
      </c>
      <c r="C25" s="2" t="s">
        <v>115</v>
      </c>
      <c r="D25" s="2" t="s">
        <v>322</v>
      </c>
      <c r="E25" s="17">
        <v>0.127</v>
      </c>
      <c r="F25" s="21">
        <v>8442.8413264462943</v>
      </c>
      <c r="G25" s="28">
        <v>3.7605823409882799E-6</v>
      </c>
      <c r="H25" s="29">
        <f>G25*'Parameters (Generic)'!$B$3</f>
        <v>0.22355157784238927</v>
      </c>
    </row>
    <row r="26" spans="1:8">
      <c r="A26" s="2" t="s">
        <v>368</v>
      </c>
      <c r="B26" s="2" t="s">
        <v>369</v>
      </c>
      <c r="C26" s="2" t="s">
        <v>119</v>
      </c>
      <c r="D26" s="2" t="s">
        <v>319</v>
      </c>
      <c r="E26" s="17">
        <v>0.93100000000000005</v>
      </c>
      <c r="F26" s="21">
        <v>8114.1335419124862</v>
      </c>
      <c r="G26" s="28">
        <v>2.8684516812270908E-5</v>
      </c>
      <c r="H26" s="29">
        <f>G26*'Parameters (Generic)'!$B$3</f>
        <v>1.7051797864222564</v>
      </c>
    </row>
    <row r="27" spans="1:8">
      <c r="A27" s="2" t="s">
        <v>370</v>
      </c>
      <c r="B27" s="2" t="s">
        <v>371</v>
      </c>
      <c r="C27" s="2" t="s">
        <v>119</v>
      </c>
      <c r="D27" s="2" t="s">
        <v>319</v>
      </c>
      <c r="E27" s="17">
        <v>0.96499999999999997</v>
      </c>
      <c r="F27" s="21">
        <v>7780.9852127522045</v>
      </c>
      <c r="G27" s="28">
        <v>3.1005071132202768E-5</v>
      </c>
      <c r="H27" s="29">
        <f>G27*'Parameters (Generic)'!$B$3</f>
        <v>1.8431274585249258</v>
      </c>
    </row>
    <row r="28" spans="1:8">
      <c r="A28" s="18" t="s">
        <v>372</v>
      </c>
      <c r="B28" s="2" t="s">
        <v>373</v>
      </c>
      <c r="C28" s="2" t="s">
        <v>119</v>
      </c>
      <c r="D28" s="2" t="s">
        <v>325</v>
      </c>
      <c r="E28" s="17">
        <v>0.54300000000000004</v>
      </c>
      <c r="F28" s="21">
        <v>10326.299394028585</v>
      </c>
      <c r="G28" s="28">
        <v>1.3146045337258041E-5</v>
      </c>
      <c r="H28" s="29">
        <f>G28*'Parameters (Generic)'!$B$3</f>
        <v>0.78147981111864151</v>
      </c>
    </row>
    <row r="29" spans="1:8">
      <c r="A29" s="2" t="s">
        <v>374</v>
      </c>
      <c r="B29" s="2" t="s">
        <v>375</v>
      </c>
      <c r="C29" s="2" t="s">
        <v>114</v>
      </c>
      <c r="D29" s="2" t="s">
        <v>325</v>
      </c>
      <c r="E29" s="17">
        <v>0.67200000000000004</v>
      </c>
      <c r="F29" s="21">
        <v>9901.3763861264706</v>
      </c>
      <c r="G29" s="28">
        <v>1.6967338019327987E-5</v>
      </c>
      <c r="H29" s="29">
        <f>G29*'Parameters (Generic)'!$B$3</f>
        <v>1.0086403758969715</v>
      </c>
    </row>
    <row r="30" spans="1:8">
      <c r="A30" s="2" t="s">
        <v>376</v>
      </c>
      <c r="B30" s="2" t="s">
        <v>377</v>
      </c>
      <c r="C30" s="2" t="s">
        <v>119</v>
      </c>
      <c r="D30" s="2" t="s">
        <v>325</v>
      </c>
      <c r="E30" s="17">
        <v>0.72899999999999998</v>
      </c>
      <c r="F30" s="21">
        <v>15099.687583811643</v>
      </c>
      <c r="G30" s="28">
        <v>1.2069786145468997E-5</v>
      </c>
      <c r="H30" s="29">
        <f>G30*'Parameters (Generic)'!$B$3</f>
        <v>0.71750050720354996</v>
      </c>
    </row>
    <row r="31" spans="1:8">
      <c r="A31" s="2" t="s">
        <v>378</v>
      </c>
      <c r="B31" s="2" t="s">
        <v>379</v>
      </c>
      <c r="C31" s="2" t="s">
        <v>120</v>
      </c>
      <c r="D31" s="2" t="s">
        <v>121</v>
      </c>
      <c r="E31" s="17">
        <v>7.5999999999999998E-2</v>
      </c>
      <c r="F31" s="21">
        <v>21554.328700633458</v>
      </c>
      <c r="G31" s="28">
        <v>8.8149347000733136E-7</v>
      </c>
      <c r="H31" s="29">
        <f>G31*'Parameters (Generic)'!$B$3</f>
        <v>5.2401260818055823E-2</v>
      </c>
    </row>
    <row r="32" spans="1:8">
      <c r="A32" s="2" t="s">
        <v>380</v>
      </c>
      <c r="B32" s="2" t="s">
        <v>381</v>
      </c>
      <c r="C32" s="2" t="s">
        <v>119</v>
      </c>
      <c r="D32" s="2" t="s">
        <v>319</v>
      </c>
      <c r="E32" s="17">
        <v>1.0309999999999999</v>
      </c>
      <c r="F32" s="21">
        <v>10495.752317574357</v>
      </c>
      <c r="G32" s="28">
        <v>2.4557553589409379E-5</v>
      </c>
      <c r="H32" s="29">
        <f>G32*'Parameters (Generic)'!$B$3</f>
        <v>1.4598483306760299</v>
      </c>
    </row>
    <row r="33" spans="1:8">
      <c r="A33" s="2" t="s">
        <v>382</v>
      </c>
      <c r="B33" s="2" t="s">
        <v>383</v>
      </c>
      <c r="C33" s="2" t="s">
        <v>119</v>
      </c>
      <c r="D33" s="2" t="s">
        <v>319</v>
      </c>
      <c r="E33" s="17">
        <v>1.0289999999999999</v>
      </c>
      <c r="F33" s="21">
        <v>10302.191344486881</v>
      </c>
      <c r="G33" s="28">
        <v>2.4970415652167524E-5</v>
      </c>
      <c r="H33" s="29">
        <f>G33*'Parameters (Generic)'!$B$3</f>
        <v>1.4843913288587507</v>
      </c>
    </row>
    <row r="34" spans="1:8">
      <c r="A34" s="2" t="s">
        <v>384</v>
      </c>
      <c r="B34" s="2" t="s">
        <v>385</v>
      </c>
      <c r="C34" s="2" t="s">
        <v>116</v>
      </c>
      <c r="D34" s="2" t="s">
        <v>121</v>
      </c>
      <c r="E34" s="17">
        <v>0.20599999999999999</v>
      </c>
      <c r="F34" s="21">
        <v>10086.177401298257</v>
      </c>
      <c r="G34" s="28">
        <v>5.105997837532691E-6</v>
      </c>
      <c r="H34" s="29">
        <f>G34*'Parameters (Generic)'!$B$3</f>
        <v>0.30353114744996834</v>
      </c>
    </row>
    <row r="35" spans="1:8">
      <c r="A35" s="2" t="s">
        <v>386</v>
      </c>
      <c r="B35" s="2" t="s">
        <v>387</v>
      </c>
      <c r="C35" s="2" t="s">
        <v>114</v>
      </c>
      <c r="D35" s="2" t="s">
        <v>322</v>
      </c>
      <c r="E35" s="17">
        <v>0.36899999999999999</v>
      </c>
      <c r="F35" s="21">
        <v>10882.699610522217</v>
      </c>
      <c r="G35" s="28">
        <v>8.4767569905913534E-6</v>
      </c>
      <c r="H35" s="29">
        <f>G35*'Parameters (Generic)'!$B$3</f>
        <v>0.50390929606269363</v>
      </c>
    </row>
    <row r="36" spans="1:8">
      <c r="A36" s="2" t="s">
        <v>388</v>
      </c>
      <c r="B36" s="2" t="s">
        <v>389</v>
      </c>
      <c r="C36" s="2" t="s">
        <v>116</v>
      </c>
      <c r="D36" s="2" t="s">
        <v>322</v>
      </c>
      <c r="E36" s="17">
        <v>0.35799999999999998</v>
      </c>
      <c r="F36" s="21">
        <v>6255.2038391550623</v>
      </c>
      <c r="G36" s="28">
        <v>1.4308086882759273E-5</v>
      </c>
      <c r="H36" s="29">
        <f>G36*'Parameters (Generic)'!$B$3</f>
        <v>0.85055853283250782</v>
      </c>
    </row>
    <row r="37" spans="1:8">
      <c r="A37" s="2" t="s">
        <v>390</v>
      </c>
      <c r="B37" s="2" t="s">
        <v>391</v>
      </c>
      <c r="C37" s="2" t="s">
        <v>114</v>
      </c>
      <c r="D37" s="2" t="s">
        <v>325</v>
      </c>
      <c r="E37" s="17">
        <v>0.745</v>
      </c>
      <c r="F37" s="21">
        <v>9413.570343233665</v>
      </c>
      <c r="G37" s="28">
        <v>1.9785266716987327E-5</v>
      </c>
      <c r="H37" s="29">
        <f>G37*'Parameters (Generic)'!$B$3</f>
        <v>1.1761549652580285</v>
      </c>
    </row>
    <row r="38" spans="1:8">
      <c r="A38" s="18" t="s">
        <v>392</v>
      </c>
      <c r="B38" s="2" t="s">
        <v>393</v>
      </c>
      <c r="C38" s="2" t="s">
        <v>119</v>
      </c>
      <c r="D38" s="2" t="s">
        <v>319</v>
      </c>
      <c r="E38" s="17">
        <v>0.88</v>
      </c>
      <c r="F38" s="21">
        <v>11542.615905418681</v>
      </c>
      <c r="G38" s="28">
        <v>1.9059804276838236E-5</v>
      </c>
      <c r="H38" s="29">
        <f>G38*'Parameters (Generic)'!$B$3</f>
        <v>1.1330291250409257</v>
      </c>
    </row>
    <row r="39" spans="1:8">
      <c r="A39" s="2" t="s">
        <v>394</v>
      </c>
      <c r="B39" s="2" t="s">
        <v>395</v>
      </c>
      <c r="C39" s="2" t="s">
        <v>119</v>
      </c>
      <c r="D39" s="2" t="s">
        <v>325</v>
      </c>
      <c r="E39" s="17">
        <v>0.70899999999999996</v>
      </c>
      <c r="F39" s="21">
        <v>14118.47875417576</v>
      </c>
      <c r="G39" s="28">
        <v>1.2554468727558593E-5</v>
      </c>
      <c r="H39" s="29">
        <f>G39*'Parameters (Generic)'!$B$3</f>
        <v>0.74631294797844816</v>
      </c>
    </row>
    <row r="40" spans="1:8">
      <c r="A40" s="2" t="s">
        <v>396</v>
      </c>
      <c r="B40" s="2" t="s">
        <v>397</v>
      </c>
      <c r="C40" s="2" t="s">
        <v>116</v>
      </c>
      <c r="D40" s="2" t="s">
        <v>322</v>
      </c>
      <c r="E40" s="17">
        <v>0.27900000000000003</v>
      </c>
      <c r="F40" s="21">
        <v>14035.710913798037</v>
      </c>
      <c r="G40" s="28">
        <v>4.9694668427112674E-6</v>
      </c>
      <c r="H40" s="29">
        <f>G40*'Parameters (Generic)'!$B$3</f>
        <v>0.29541492593181401</v>
      </c>
    </row>
    <row r="41" spans="1:8">
      <c r="A41" s="2" t="s">
        <v>398</v>
      </c>
      <c r="B41" s="2" t="s">
        <v>399</v>
      </c>
      <c r="C41" s="2" t="s">
        <v>119</v>
      </c>
      <c r="D41" s="2" t="s">
        <v>325</v>
      </c>
      <c r="E41" s="17">
        <v>0.77400000000000002</v>
      </c>
      <c r="F41" s="21">
        <v>9262.9626550130833</v>
      </c>
      <c r="G41" s="28">
        <v>2.0889644836825341E-5</v>
      </c>
      <c r="H41" s="29">
        <f>G41*'Parameters (Generic)'!$B$3</f>
        <v>1.2418058269699193</v>
      </c>
    </row>
    <row r="42" spans="1:8">
      <c r="A42" s="2" t="s">
        <v>74</v>
      </c>
      <c r="B42" s="2" t="s">
        <v>75</v>
      </c>
      <c r="C42" s="2" t="s">
        <v>115</v>
      </c>
      <c r="D42" s="2" t="s">
        <v>121</v>
      </c>
      <c r="E42" s="17">
        <v>7.5999999999999998E-2</v>
      </c>
      <c r="F42" s="21">
        <v>10323.22124721115</v>
      </c>
      <c r="G42" s="28">
        <v>1.8405107809864007E-6</v>
      </c>
      <c r="H42" s="29">
        <f>G42*'Parameters (Generic)'!$B$3</f>
        <v>0.10941100388651757</v>
      </c>
    </row>
    <row r="43" spans="1:8">
      <c r="A43" s="2" t="s">
        <v>400</v>
      </c>
      <c r="B43" s="2" t="s">
        <v>401</v>
      </c>
      <c r="C43" s="2" t="s">
        <v>116</v>
      </c>
      <c r="D43" s="2" t="s">
        <v>322</v>
      </c>
      <c r="E43" s="17">
        <v>0.32800000000000001</v>
      </c>
      <c r="F43" s="21">
        <v>11294.328816476453</v>
      </c>
      <c r="G43" s="28">
        <v>7.2602809190729716E-6</v>
      </c>
      <c r="H43" s="29">
        <f>G43*'Parameters (Generic)'!$B$3</f>
        <v>0.43159465951521186</v>
      </c>
    </row>
    <row r="44" spans="1:8">
      <c r="A44" s="2" t="s">
        <v>402</v>
      </c>
      <c r="B44" s="2" t="s">
        <v>403</v>
      </c>
      <c r="C44" s="2" t="s">
        <v>115</v>
      </c>
      <c r="D44" s="2" t="s">
        <v>121</v>
      </c>
      <c r="E44" s="17">
        <v>0.13900000000000001</v>
      </c>
      <c r="F44" s="21">
        <v>19416.0307764512</v>
      </c>
      <c r="G44" s="28">
        <v>1.7897581848781709E-6</v>
      </c>
      <c r="H44" s="29">
        <f>G44*'Parameters (Generic)'!$B$3</f>
        <v>0.10639396505826774</v>
      </c>
    </row>
    <row r="45" spans="1:8">
      <c r="A45" s="2" t="s">
        <v>404</v>
      </c>
      <c r="B45" s="2" t="s">
        <v>405</v>
      </c>
      <c r="C45" s="2" t="s">
        <v>115</v>
      </c>
      <c r="D45" s="2" t="s">
        <v>121</v>
      </c>
      <c r="E45" s="17">
        <v>0.19800000000000001</v>
      </c>
      <c r="F45" s="21">
        <v>14241.389245453047</v>
      </c>
      <c r="G45" s="28">
        <v>3.4757845001536089E-6</v>
      </c>
      <c r="H45" s="29">
        <f>G45*'Parameters (Generic)'!$B$3</f>
        <v>0.20662148539613143</v>
      </c>
    </row>
    <row r="46" spans="1:8">
      <c r="A46" s="2" t="s">
        <v>406</v>
      </c>
      <c r="B46" s="2" t="s">
        <v>407</v>
      </c>
      <c r="C46" s="2" t="s">
        <v>115</v>
      </c>
      <c r="D46" s="2" t="s">
        <v>121</v>
      </c>
      <c r="E46" s="17">
        <v>0.13300000000000001</v>
      </c>
      <c r="F46" s="21">
        <v>31369.736213701442</v>
      </c>
      <c r="G46" s="28">
        <v>1.0599387821908847E-6</v>
      </c>
      <c r="H46" s="29">
        <f>G46*'Parameters (Generic)'!$B$3</f>
        <v>6.3009120846119329E-2</v>
      </c>
    </row>
    <row r="47" spans="1:8">
      <c r="A47" s="2" t="s">
        <v>408</v>
      </c>
      <c r="B47" s="2" t="s">
        <v>409</v>
      </c>
      <c r="C47" s="2" t="s">
        <v>117</v>
      </c>
      <c r="D47" s="2" t="s">
        <v>325</v>
      </c>
      <c r="E47" s="17">
        <v>0.8</v>
      </c>
      <c r="F47" s="21">
        <v>12458.425007029984</v>
      </c>
      <c r="G47" s="28">
        <v>1.605339357801206E-5</v>
      </c>
      <c r="H47" s="29">
        <f>G47*'Parameters (Generic)'!$B$3</f>
        <v>0.95431003463850494</v>
      </c>
    </row>
    <row r="48" spans="1:8">
      <c r="A48" s="18" t="s">
        <v>410</v>
      </c>
      <c r="B48" s="2" t="s">
        <v>411</v>
      </c>
      <c r="C48" s="2" t="s">
        <v>116</v>
      </c>
      <c r="D48" s="2" t="s">
        <v>322</v>
      </c>
      <c r="E48" s="17">
        <v>0.40300000000000002</v>
      </c>
      <c r="F48" s="21">
        <v>14237.310238825723</v>
      </c>
      <c r="G48" s="28">
        <v>7.0764771090855815E-6</v>
      </c>
      <c r="H48" s="29">
        <f>G48*'Parameters (Generic)'!$B$3</f>
        <v>0.42066825822670145</v>
      </c>
    </row>
    <row r="49" spans="1:8">
      <c r="A49" s="2" t="s">
        <v>412</v>
      </c>
      <c r="B49" s="2" t="s">
        <v>413</v>
      </c>
      <c r="C49" s="2" t="s">
        <v>116</v>
      </c>
      <c r="D49" s="2" t="s">
        <v>322</v>
      </c>
      <c r="E49" s="17">
        <v>0.378</v>
      </c>
      <c r="F49" s="21">
        <v>10461.705520066054</v>
      </c>
      <c r="G49" s="28">
        <v>9.03294398974856E-6</v>
      </c>
      <c r="H49" s="29">
        <f>G49*'Parameters (Generic)'!$B$3</f>
        <v>0.53697238841459294</v>
      </c>
    </row>
    <row r="50" spans="1:8">
      <c r="A50" s="2" t="s">
        <v>414</v>
      </c>
      <c r="B50" s="2" t="s">
        <v>415</v>
      </c>
      <c r="C50" s="2" t="s">
        <v>116</v>
      </c>
      <c r="D50" s="2" t="s">
        <v>322</v>
      </c>
      <c r="E50" s="17">
        <v>0.372</v>
      </c>
      <c r="F50" s="21">
        <v>8071.7691736027791</v>
      </c>
      <c r="G50" s="28">
        <v>1.1521637697983141E-5</v>
      </c>
      <c r="H50" s="29">
        <f>G50*'Parameters (Generic)'!$B$3</f>
        <v>0.68491527459430579</v>
      </c>
    </row>
    <row r="51" spans="1:8">
      <c r="A51" s="2" t="s">
        <v>416</v>
      </c>
      <c r="B51" s="2" t="s">
        <v>417</v>
      </c>
      <c r="C51" s="2" t="s">
        <v>117</v>
      </c>
      <c r="D51" s="2" t="s">
        <v>325</v>
      </c>
      <c r="E51" s="17">
        <v>0.46700000000000003</v>
      </c>
      <c r="F51" s="21">
        <v>7252.7351414983677</v>
      </c>
      <c r="G51" s="28">
        <v>1.6097375365603138E-5</v>
      </c>
      <c r="H51" s="29">
        <f>G51*'Parameters (Generic)'!$B$3</f>
        <v>0.95692457598364411</v>
      </c>
    </row>
    <row r="52" spans="1:8">
      <c r="A52" s="2" t="s">
        <v>418</v>
      </c>
      <c r="B52" s="2" t="s">
        <v>419</v>
      </c>
      <c r="C52" s="2" t="s">
        <v>116</v>
      </c>
      <c r="D52" s="2" t="s">
        <v>322</v>
      </c>
      <c r="E52" s="17">
        <v>0.52900000000000003</v>
      </c>
      <c r="F52" s="21">
        <v>10983.545369907744</v>
      </c>
      <c r="G52" s="28">
        <v>1.2040738718331606E-5</v>
      </c>
      <c r="H52" s="29">
        <f>G52*'Parameters (Generic)'!$B$3</f>
        <v>0.71577375384994057</v>
      </c>
    </row>
    <row r="53" spans="1:8">
      <c r="A53" s="18" t="s">
        <v>420</v>
      </c>
      <c r="B53" s="2" t="s">
        <v>421</v>
      </c>
      <c r="C53" s="2" t="s">
        <v>119</v>
      </c>
      <c r="D53" s="2" t="s">
        <v>322</v>
      </c>
      <c r="E53" s="17">
        <v>0.67600000000000005</v>
      </c>
      <c r="F53" s="21">
        <v>9839.9364831580751</v>
      </c>
      <c r="G53" s="28">
        <v>1.7174907611371122E-5</v>
      </c>
      <c r="H53" s="29">
        <f>G53*'Parameters (Generic)'!$B$3</f>
        <v>1.0209795578655676</v>
      </c>
    </row>
    <row r="54" spans="1:8">
      <c r="A54" s="2" t="s">
        <v>422</v>
      </c>
      <c r="B54" s="2" t="s">
        <v>423</v>
      </c>
      <c r="C54" s="2" t="s">
        <v>115</v>
      </c>
      <c r="D54" s="2" t="s">
        <v>121</v>
      </c>
      <c r="E54" s="17">
        <v>0.154</v>
      </c>
      <c r="F54" s="21">
        <v>12966.607407043233</v>
      </c>
      <c r="G54" s="28">
        <v>2.9691652404843749E-6</v>
      </c>
      <c r="H54" s="29">
        <f>G54*'Parameters (Generic)'!$B$3</f>
        <v>0.17650499688583415</v>
      </c>
    </row>
    <row r="55" spans="1:8">
      <c r="A55" s="2" t="s">
        <v>424</v>
      </c>
      <c r="B55" s="2" t="s">
        <v>425</v>
      </c>
      <c r="C55" s="2" t="s">
        <v>119</v>
      </c>
      <c r="D55" s="2" t="s">
        <v>319</v>
      </c>
      <c r="E55" s="17">
        <v>0.871</v>
      </c>
      <c r="F55" s="21">
        <v>5372.7681564179438</v>
      </c>
      <c r="G55" s="28">
        <v>4.0528456404710231E-5</v>
      </c>
      <c r="H55" s="29">
        <f>G55*'Parameters (Generic)'!$B$3</f>
        <v>2.4092546194344044</v>
      </c>
    </row>
    <row r="56" spans="1:8">
      <c r="A56" s="2" t="s">
        <v>426</v>
      </c>
      <c r="B56" s="2" t="s">
        <v>427</v>
      </c>
      <c r="C56" s="2" t="s">
        <v>114</v>
      </c>
      <c r="D56" s="2" t="s">
        <v>322</v>
      </c>
      <c r="E56" s="17">
        <v>0.40100000000000002</v>
      </c>
      <c r="F56" s="21">
        <v>8966.4184513455548</v>
      </c>
      <c r="G56" s="28">
        <v>1.1180606899397595E-5</v>
      </c>
      <c r="H56" s="29">
        <f>G56*'Parameters (Generic)'!$B$3</f>
        <v>0.66464235774158942</v>
      </c>
    </row>
    <row r="57" spans="1:8">
      <c r="A57" s="2" t="s">
        <v>428</v>
      </c>
      <c r="B57" s="2" t="s">
        <v>429</v>
      </c>
      <c r="C57" s="2" t="s">
        <v>115</v>
      </c>
      <c r="D57" s="2" t="s">
        <v>121</v>
      </c>
      <c r="E57" s="17">
        <v>0.13700000000000001</v>
      </c>
      <c r="F57" s="21">
        <v>13932.586360135052</v>
      </c>
      <c r="G57" s="28">
        <v>2.4582657601892667E-6</v>
      </c>
      <c r="H57" s="29">
        <f>G57*'Parameters (Generic)'!$B$3</f>
        <v>0.14613406638021115</v>
      </c>
    </row>
    <row r="58" spans="1:8">
      <c r="A58" s="2" t="s">
        <v>55</v>
      </c>
      <c r="B58" s="2" t="s">
        <v>56</v>
      </c>
      <c r="C58" s="2" t="s">
        <v>115</v>
      </c>
      <c r="D58" s="2" t="s">
        <v>121</v>
      </c>
      <c r="E58" s="17">
        <v>0.105</v>
      </c>
      <c r="F58" s="21">
        <v>15154.662736568238</v>
      </c>
      <c r="G58" s="28">
        <v>1.7321401641396271E-6</v>
      </c>
      <c r="H58" s="29">
        <f>G58*'Parameters (Generic)'!$B$3</f>
        <v>0.10296880419744428</v>
      </c>
    </row>
    <row r="59" spans="1:8">
      <c r="A59" s="2" t="s">
        <v>430</v>
      </c>
      <c r="B59" s="2" t="s">
        <v>431</v>
      </c>
      <c r="C59" s="2" t="s">
        <v>119</v>
      </c>
      <c r="D59" s="2" t="s">
        <v>322</v>
      </c>
      <c r="E59" s="17">
        <v>0.47399999999999998</v>
      </c>
      <c r="F59" s="21">
        <v>12533.04259362308</v>
      </c>
      <c r="G59" s="28">
        <v>9.4550065648299803E-6</v>
      </c>
      <c r="H59" s="29">
        <f>G59*'Parameters (Generic)'!$B$3</f>
        <v>0.56206232025288305</v>
      </c>
    </row>
    <row r="60" spans="1:8">
      <c r="A60" s="2" t="s">
        <v>432</v>
      </c>
      <c r="B60" s="2" t="s">
        <v>433</v>
      </c>
      <c r="C60" s="2" t="s">
        <v>119</v>
      </c>
      <c r="D60" s="2" t="s">
        <v>319</v>
      </c>
      <c r="E60" s="17">
        <v>0.85099999999999998</v>
      </c>
      <c r="F60" s="21">
        <v>8077.3870637662167</v>
      </c>
      <c r="G60" s="28">
        <v>2.6338963122661323E-5</v>
      </c>
      <c r="H60" s="29">
        <f>G60*'Parameters (Generic)'!$B$3</f>
        <v>1.5657460017897251</v>
      </c>
    </row>
    <row r="61" spans="1:8">
      <c r="A61" s="2" t="s">
        <v>434</v>
      </c>
      <c r="B61" s="2" t="s">
        <v>435</v>
      </c>
      <c r="C61" s="2" t="s">
        <v>115</v>
      </c>
      <c r="D61" s="2" t="s">
        <v>322</v>
      </c>
      <c r="E61" s="17">
        <v>0.27600000000000002</v>
      </c>
      <c r="F61" s="21">
        <v>12152.545853953707</v>
      </c>
      <c r="G61" s="28">
        <v>5.6778226413810703E-6</v>
      </c>
      <c r="H61" s="29">
        <f>G61*'Parameters (Generic)'!$B$3</f>
        <v>0.33752384473953911</v>
      </c>
    </row>
    <row r="62" spans="1:8">
      <c r="A62" s="2" t="s">
        <v>436</v>
      </c>
      <c r="B62" s="2" t="s">
        <v>437</v>
      </c>
      <c r="C62" s="2" t="s">
        <v>115</v>
      </c>
      <c r="D62" s="2" t="s">
        <v>121</v>
      </c>
      <c r="E62" s="17">
        <v>0.03</v>
      </c>
      <c r="F62" s="21">
        <v>16683.49453155513</v>
      </c>
      <c r="G62" s="28">
        <v>4.4954610593209438E-7</v>
      </c>
      <c r="H62" s="29">
        <f>G62*'Parameters (Generic)'!$B$3</f>
        <v>2.6723717813239282E-2</v>
      </c>
    </row>
    <row r="63" spans="1:8">
      <c r="A63" s="2" t="s">
        <v>438</v>
      </c>
      <c r="B63" s="2" t="s">
        <v>439</v>
      </c>
      <c r="C63" s="2" t="s">
        <v>119</v>
      </c>
      <c r="D63" s="2" t="s">
        <v>325</v>
      </c>
      <c r="E63" s="17">
        <v>0.64100000000000001</v>
      </c>
      <c r="F63" s="21">
        <v>11219.206765511826</v>
      </c>
      <c r="G63" s="28">
        <v>1.4283541015806326E-5</v>
      </c>
      <c r="H63" s="29">
        <f>G63*'Parameters (Generic)'!$B$3</f>
        <v>0.84909937922562284</v>
      </c>
    </row>
    <row r="64" spans="1:8">
      <c r="A64" s="2" t="s">
        <v>440</v>
      </c>
      <c r="B64" s="2" t="s">
        <v>441</v>
      </c>
      <c r="C64" s="2" t="s">
        <v>115</v>
      </c>
      <c r="D64" s="2" t="s">
        <v>121</v>
      </c>
      <c r="E64" s="17">
        <v>9.2999999999999999E-2</v>
      </c>
      <c r="F64" s="21">
        <v>12703.338039245247</v>
      </c>
      <c r="G64" s="28">
        <v>1.8302276085366117E-6</v>
      </c>
      <c r="H64" s="29">
        <f>G64*'Parameters (Generic)'!$B$3</f>
        <v>0.10879971041706742</v>
      </c>
    </row>
    <row r="65" spans="1:8">
      <c r="A65" s="18" t="s">
        <v>442</v>
      </c>
      <c r="B65" s="2" t="s">
        <v>443</v>
      </c>
      <c r="C65" s="2" t="s">
        <v>116</v>
      </c>
      <c r="D65" s="2" t="s">
        <v>322</v>
      </c>
      <c r="E65" s="17">
        <v>0.33600000000000002</v>
      </c>
      <c r="F65" s="21">
        <v>13194.789406609943</v>
      </c>
      <c r="G65" s="28">
        <v>6.3661493496758739E-6</v>
      </c>
      <c r="H65" s="29">
        <f>G65*'Parameters (Generic)'!$B$3</f>
        <v>0.37844211424083202</v>
      </c>
    </row>
    <row r="66" spans="1:8">
      <c r="A66" s="2" t="s">
        <v>444</v>
      </c>
      <c r="B66" s="2" t="s">
        <v>445</v>
      </c>
      <c r="C66" s="2" t="s">
        <v>116</v>
      </c>
      <c r="D66" s="2" t="s">
        <v>322</v>
      </c>
      <c r="E66" s="17">
        <v>0.54700000000000004</v>
      </c>
      <c r="F66" s="21">
        <v>11903.521586289786</v>
      </c>
      <c r="G66" s="28">
        <v>1.1488196917919287E-5</v>
      </c>
      <c r="H66" s="29">
        <f>G66*'Parameters (Generic)'!$B$3</f>
        <v>0.68292735398262994</v>
      </c>
    </row>
    <row r="67" spans="1:8">
      <c r="A67" s="2" t="s">
        <v>446</v>
      </c>
      <c r="B67" s="2" t="s">
        <v>447</v>
      </c>
      <c r="C67" s="2" t="s">
        <v>119</v>
      </c>
      <c r="D67" s="2" t="s">
        <v>325</v>
      </c>
      <c r="E67" s="17">
        <v>0.88500000000000001</v>
      </c>
      <c r="F67" s="21">
        <v>11262.336726271255</v>
      </c>
      <c r="G67" s="28">
        <v>1.9645123865271934E-5</v>
      </c>
      <c r="H67" s="29">
        <f>G67*'Parameters (Generic)'!$B$3</f>
        <v>1.1678240332949554</v>
      </c>
    </row>
    <row r="68" spans="1:8">
      <c r="A68" s="2" t="s">
        <v>448</v>
      </c>
      <c r="B68" s="2" t="s">
        <v>449</v>
      </c>
      <c r="C68" s="2" t="s">
        <v>119</v>
      </c>
      <c r="D68" s="2" t="s">
        <v>319</v>
      </c>
      <c r="E68" s="17">
        <v>0.88</v>
      </c>
      <c r="F68" s="21">
        <v>8714.5266784245869</v>
      </c>
      <c r="G68" s="28">
        <v>2.5245203568505412E-5</v>
      </c>
      <c r="H68" s="29">
        <f>G68*'Parameters (Generic)'!$B$3</f>
        <v>1.5007263713333727</v>
      </c>
    </row>
    <row r="69" spans="1:8">
      <c r="A69" s="2" t="s">
        <v>450</v>
      </c>
      <c r="B69" s="2" t="s">
        <v>451</v>
      </c>
      <c r="C69" s="2" t="s">
        <v>116</v>
      </c>
      <c r="D69" s="2" t="s">
        <v>121</v>
      </c>
      <c r="E69" s="17">
        <v>0.51200000000000001</v>
      </c>
      <c r="F69" s="21">
        <v>10361.155132607286</v>
      </c>
      <c r="G69" s="28">
        <v>1.235383491143521E-5</v>
      </c>
      <c r="H69" s="29">
        <f>G69*'Parameters (Generic)'!$B$3</f>
        <v>0.73438607014517754</v>
      </c>
    </row>
    <row r="70" spans="1:8">
      <c r="A70" s="2" t="s">
        <v>452</v>
      </c>
      <c r="B70" s="2" t="s">
        <v>453</v>
      </c>
      <c r="C70" s="2" t="s">
        <v>116</v>
      </c>
      <c r="D70" s="2" t="s">
        <v>325</v>
      </c>
      <c r="E70" s="17">
        <v>0.82499999999999996</v>
      </c>
      <c r="F70" s="21">
        <v>12387.611669832602</v>
      </c>
      <c r="G70" s="28">
        <v>1.6649698545384503E-5</v>
      </c>
      <c r="H70" s="29">
        <f>G70*'Parameters (Generic)'!$B$3</f>
        <v>0.98975797972892721</v>
      </c>
    </row>
    <row r="71" spans="1:8">
      <c r="A71" s="2" t="s">
        <v>454</v>
      </c>
      <c r="B71" s="2" t="s">
        <v>455</v>
      </c>
      <c r="C71" s="2" t="s">
        <v>116</v>
      </c>
      <c r="D71" s="2" t="s">
        <v>325</v>
      </c>
      <c r="E71" s="17">
        <v>0.6</v>
      </c>
      <c r="F71" s="21">
        <v>10748.956032819435</v>
      </c>
      <c r="G71" s="28">
        <v>1.3954843571972005E-5</v>
      </c>
      <c r="H71" s="29">
        <f>G71*'Parameters (Generic)'!$B$3</f>
        <v>0.82955963097944774</v>
      </c>
    </row>
    <row r="72" spans="1:8">
      <c r="A72" s="2" t="s">
        <v>456</v>
      </c>
      <c r="B72" s="2" t="s">
        <v>457</v>
      </c>
      <c r="C72" s="2" t="s">
        <v>114</v>
      </c>
      <c r="D72" s="2" t="s">
        <v>121</v>
      </c>
      <c r="E72" s="17">
        <v>2.7E-2</v>
      </c>
      <c r="F72" s="21">
        <v>16179.765936997597</v>
      </c>
      <c r="G72" s="28">
        <v>4.1718774092801036E-7</v>
      </c>
      <c r="H72" s="29">
        <f>G72*'Parameters (Generic)'!$B$3</f>
        <v>2.4800142447206505E-2</v>
      </c>
    </row>
    <row r="73" spans="1:8">
      <c r="A73" s="2" t="s">
        <v>458</v>
      </c>
      <c r="B73" s="2" t="s">
        <v>459</v>
      </c>
      <c r="C73" s="2" t="s">
        <v>115</v>
      </c>
      <c r="D73" s="2" t="s">
        <v>121</v>
      </c>
      <c r="E73" s="17">
        <v>0.219</v>
      </c>
      <c r="F73" s="21">
        <v>11193.099019066176</v>
      </c>
      <c r="G73" s="28">
        <v>4.891406741487731E-6</v>
      </c>
      <c r="H73" s="29">
        <f>G73*'Parameters (Generic)'!$B$3</f>
        <v>0.29077456515447964</v>
      </c>
    </row>
    <row r="74" spans="1:8">
      <c r="A74" s="2" t="s">
        <v>460</v>
      </c>
      <c r="B74" s="2" t="s">
        <v>461</v>
      </c>
      <c r="C74" s="2" t="s">
        <v>115</v>
      </c>
      <c r="D74" s="2" t="s">
        <v>121</v>
      </c>
      <c r="E74" s="17">
        <v>2.7E-2</v>
      </c>
      <c r="F74" s="21">
        <v>25954.260344722363</v>
      </c>
      <c r="G74" s="28">
        <v>2.6007290943170992E-7</v>
      </c>
      <c r="H74" s="29">
        <f>G74*'Parameters (Generic)'!$B$3</f>
        <v>1.5460294174077427E-2</v>
      </c>
    </row>
    <row r="75" spans="1:8">
      <c r="A75" s="2" t="s">
        <v>462</v>
      </c>
      <c r="B75" s="2" t="s">
        <v>463</v>
      </c>
      <c r="C75" s="2" t="s">
        <v>118</v>
      </c>
      <c r="D75" s="2" t="s">
        <v>325</v>
      </c>
      <c r="E75" s="17">
        <v>0.57999999999999996</v>
      </c>
      <c r="F75" s="21">
        <v>4351.2730604152275</v>
      </c>
      <c r="G75" s="28">
        <v>3.3323580935222466E-5</v>
      </c>
      <c r="H75" s="29">
        <f>G75*'Parameters (Generic)'!$B$3</f>
        <v>1.9809535922752348</v>
      </c>
    </row>
    <row r="76" spans="1:8">
      <c r="A76" s="2" t="s">
        <v>464</v>
      </c>
      <c r="B76" s="2" t="s">
        <v>465</v>
      </c>
      <c r="C76" s="2" t="s">
        <v>114</v>
      </c>
      <c r="D76" s="2" t="s">
        <v>322</v>
      </c>
      <c r="E76" s="17">
        <v>0.44700000000000001</v>
      </c>
      <c r="F76" s="21">
        <v>9409.559138651719</v>
      </c>
      <c r="G76" s="28">
        <v>1.1876220591564557E-5</v>
      </c>
      <c r="H76" s="29">
        <f>G76*'Parameters (Generic)'!$B$3</f>
        <v>0.70599380928614663</v>
      </c>
    </row>
    <row r="77" spans="1:8">
      <c r="A77" s="2" t="s">
        <v>466</v>
      </c>
      <c r="B77" s="2" t="s">
        <v>467</v>
      </c>
      <c r="C77" s="2" t="s">
        <v>117</v>
      </c>
      <c r="D77" s="2" t="s">
        <v>325</v>
      </c>
      <c r="E77" s="17">
        <v>0.32800000000000001</v>
      </c>
      <c r="F77" s="21">
        <v>6646.4489152989154</v>
      </c>
      <c r="G77" s="28">
        <v>1.2337415219012807E-5</v>
      </c>
      <c r="H77" s="29">
        <f>G77*'Parameters (Generic)'!$B$3</f>
        <v>0.73340998510943534</v>
      </c>
    </row>
    <row r="78" spans="1:8">
      <c r="A78" s="2" t="s">
        <v>468</v>
      </c>
      <c r="B78" s="2" t="s">
        <v>469</v>
      </c>
      <c r="C78" s="2" t="s">
        <v>117</v>
      </c>
      <c r="D78" s="2" t="s">
        <v>322</v>
      </c>
      <c r="E78" s="17">
        <v>0.52700000000000002</v>
      </c>
      <c r="F78" s="21">
        <v>7996.2027807054055</v>
      </c>
      <c r="G78" s="28">
        <v>1.6476570643994768E-5</v>
      </c>
      <c r="H78" s="29">
        <f>G78*'Parameters (Generic)'!$B$3</f>
        <v>0.97946621850291293</v>
      </c>
    </row>
    <row r="79" spans="1:8">
      <c r="A79" s="2" t="s">
        <v>470</v>
      </c>
      <c r="B79" s="2" t="s">
        <v>471</v>
      </c>
      <c r="C79" s="2" t="s">
        <v>115</v>
      </c>
      <c r="D79" s="2" t="s">
        <v>121</v>
      </c>
      <c r="E79" s="17">
        <v>1.6E-2</v>
      </c>
      <c r="F79" s="21">
        <v>25887.609300887441</v>
      </c>
      <c r="G79" s="28">
        <v>1.5451407480345734E-7</v>
      </c>
      <c r="H79" s="29">
        <f>G79*'Parameters (Generic)'!$B$3</f>
        <v>9.1852436907663253E-3</v>
      </c>
    </row>
    <row r="80" spans="1:8">
      <c r="A80" s="2" t="s">
        <v>472</v>
      </c>
      <c r="B80" s="2" t="s">
        <v>473</v>
      </c>
      <c r="C80" s="2" t="s">
        <v>117</v>
      </c>
      <c r="D80" s="2" t="s">
        <v>121</v>
      </c>
      <c r="E80" s="17">
        <v>0.105</v>
      </c>
      <c r="F80" s="21">
        <v>20634.426394906142</v>
      </c>
      <c r="G80" s="28">
        <v>1.2721458545840717E-6</v>
      </c>
      <c r="H80" s="29">
        <f>G80*'Parameters (Generic)'!$B$3</f>
        <v>7.5623982471604734E-2</v>
      </c>
    </row>
    <row r="81" spans="1:8">
      <c r="A81" s="2" t="s">
        <v>474</v>
      </c>
      <c r="B81" s="2" t="s">
        <v>475</v>
      </c>
      <c r="C81" s="2" t="s">
        <v>115</v>
      </c>
      <c r="D81" s="2" t="s">
        <v>121</v>
      </c>
      <c r="E81" s="17">
        <v>6.4000000000000001E-2</v>
      </c>
      <c r="F81" s="21">
        <v>16671.552255780756</v>
      </c>
      <c r="G81" s="28">
        <v>9.5971867253405286E-7</v>
      </c>
      <c r="H81" s="29">
        <f>G81*'Parameters (Generic)'!$B$3</f>
        <v>5.7051436207459304E-2</v>
      </c>
    </row>
    <row r="82" spans="1:8">
      <c r="A82" s="2" t="s">
        <v>476</v>
      </c>
      <c r="B82" s="2" t="s">
        <v>477</v>
      </c>
      <c r="C82" s="2" t="s">
        <v>116</v>
      </c>
      <c r="D82" s="2" t="s">
        <v>322</v>
      </c>
      <c r="E82" s="17">
        <v>0.41799999999999998</v>
      </c>
      <c r="F82" s="21">
        <v>11318.530647195639</v>
      </c>
      <c r="G82" s="28">
        <v>9.2326471745598589E-6</v>
      </c>
      <c r="H82" s="29">
        <f>G82*'Parameters (Generic)'!$B$3</f>
        <v>0.54884394393888536</v>
      </c>
    </row>
    <row r="83" spans="1:8">
      <c r="A83" s="2" t="s">
        <v>478</v>
      </c>
      <c r="B83" s="2" t="s">
        <v>479</v>
      </c>
      <c r="C83" s="2" t="s">
        <v>114</v>
      </c>
      <c r="D83" s="2" t="s">
        <v>121</v>
      </c>
      <c r="E83" s="17">
        <v>8.1000000000000003E-2</v>
      </c>
      <c r="F83" s="21">
        <v>14851.366363675814</v>
      </c>
      <c r="G83" s="28">
        <v>1.3635109056045122E-6</v>
      </c>
      <c r="H83" s="29">
        <f>G83*'Parameters (Generic)'!$B$3</f>
        <v>8.1055269294565829E-2</v>
      </c>
    </row>
    <row r="84" spans="1:8">
      <c r="A84" s="2" t="s">
        <v>480</v>
      </c>
      <c r="B84" s="2" t="s">
        <v>481</v>
      </c>
      <c r="C84" s="2" t="s">
        <v>117</v>
      </c>
      <c r="D84" s="2" t="s">
        <v>325</v>
      </c>
      <c r="E84" s="17">
        <v>0.42699999999999999</v>
      </c>
      <c r="F84" s="21">
        <v>7048.1539447585856</v>
      </c>
      <c r="G84" s="28">
        <v>1.5145809929334115E-5</v>
      </c>
      <c r="H84" s="29">
        <f>G84*'Parameters (Generic)'!$B$3</f>
        <v>0.90035781705919582</v>
      </c>
    </row>
    <row r="85" spans="1:8">
      <c r="A85" s="2" t="s">
        <v>482</v>
      </c>
      <c r="B85" s="2" t="s">
        <v>483</v>
      </c>
      <c r="C85" s="2" t="s">
        <v>115</v>
      </c>
      <c r="D85" s="2" t="s">
        <v>322</v>
      </c>
      <c r="E85" s="17">
        <v>0.252</v>
      </c>
      <c r="F85" s="21">
        <v>10656.179610281848</v>
      </c>
      <c r="G85" s="28">
        <v>5.9120625124611333E-6</v>
      </c>
      <c r="H85" s="29">
        <f>G85*'Parameters (Generic)'!$B$3</f>
        <v>0.35144846811576452</v>
      </c>
    </row>
    <row r="86" spans="1:8">
      <c r="A86" s="2" t="s">
        <v>484</v>
      </c>
      <c r="B86" s="2" t="s">
        <v>485</v>
      </c>
      <c r="C86" s="2" t="s">
        <v>119</v>
      </c>
      <c r="D86" s="2" t="s">
        <v>325</v>
      </c>
      <c r="E86" s="17">
        <v>0.66</v>
      </c>
      <c r="F86" s="21">
        <v>8401.8594549869831</v>
      </c>
      <c r="G86" s="28">
        <v>1.9638509889862904E-5</v>
      </c>
      <c r="H86" s="29">
        <f>G86*'Parameters (Generic)'!$B$3</f>
        <v>1.1674308589127902</v>
      </c>
    </row>
    <row r="87" spans="1:8">
      <c r="A87" s="2" t="s">
        <v>486</v>
      </c>
      <c r="B87" s="2" t="s">
        <v>487</v>
      </c>
      <c r="C87" s="2" t="s">
        <v>114</v>
      </c>
      <c r="D87" s="2" t="s">
        <v>325</v>
      </c>
      <c r="E87" s="17">
        <v>0.60699999999999998</v>
      </c>
      <c r="F87" s="21">
        <v>16396.933382355797</v>
      </c>
      <c r="G87" s="28">
        <v>9.254779321314631E-6</v>
      </c>
      <c r="H87" s="29">
        <f>G87*'Parameters (Generic)'!$B$3</f>
        <v>0.55015961153486959</v>
      </c>
    </row>
    <row r="88" spans="1:8">
      <c r="A88" s="2" t="s">
        <v>488</v>
      </c>
      <c r="B88" s="2" t="s">
        <v>489</v>
      </c>
      <c r="C88" s="2" t="s">
        <v>114</v>
      </c>
      <c r="D88" s="2" t="s">
        <v>121</v>
      </c>
      <c r="E88" s="17">
        <v>8.6999999999999994E-2</v>
      </c>
      <c r="F88" s="21">
        <v>14813.848139273938</v>
      </c>
      <c r="G88" s="28">
        <v>1.4682208022868268E-6</v>
      </c>
      <c r="H88" s="29">
        <f>G88*'Parameters (Generic)'!$B$3</f>
        <v>8.7279853812742711E-2</v>
      </c>
    </row>
    <row r="89" spans="1:8">
      <c r="A89" s="2" t="s">
        <v>490</v>
      </c>
      <c r="B89" s="2" t="s">
        <v>491</v>
      </c>
      <c r="C89" s="2" t="s">
        <v>115</v>
      </c>
      <c r="D89" s="2" t="s">
        <v>325</v>
      </c>
      <c r="E89" s="17">
        <v>0.48499999999999999</v>
      </c>
      <c r="F89" s="21">
        <v>7080.9877658831083</v>
      </c>
      <c r="G89" s="28">
        <v>1.7123317255848733E-5</v>
      </c>
      <c r="H89" s="29">
        <f>G89*'Parameters (Generic)'!$B$3</f>
        <v>1.0179127175911837</v>
      </c>
    </row>
    <row r="90" spans="1:8">
      <c r="A90" s="2" t="s">
        <v>492</v>
      </c>
      <c r="B90" s="2" t="s">
        <v>493</v>
      </c>
      <c r="C90" s="2" t="s">
        <v>114</v>
      </c>
      <c r="D90" s="2" t="s">
        <v>325</v>
      </c>
      <c r="E90" s="17">
        <v>0.63800000000000001</v>
      </c>
      <c r="F90" s="21">
        <v>5871.7282427010023</v>
      </c>
      <c r="G90" s="28">
        <v>2.7164063697646505E-5</v>
      </c>
      <c r="H90" s="29">
        <f>G90*'Parameters (Generic)'!$B$3</f>
        <v>1.6147949305702942</v>
      </c>
    </row>
    <row r="91" spans="1:8">
      <c r="A91" s="2" t="s">
        <v>494</v>
      </c>
      <c r="B91" s="2" t="s">
        <v>495</v>
      </c>
      <c r="C91" s="2" t="s">
        <v>115</v>
      </c>
      <c r="D91" s="2" t="s">
        <v>121</v>
      </c>
      <c r="E91" s="17">
        <v>0.22</v>
      </c>
      <c r="F91" s="21">
        <v>11421.790825760039</v>
      </c>
      <c r="G91" s="28">
        <v>4.8153569645099975E-6</v>
      </c>
      <c r="H91" s="29">
        <f>G91*'Parameters (Generic)'!$B$3</f>
        <v>0.28625371011226131</v>
      </c>
    </row>
    <row r="92" spans="1:8">
      <c r="A92" s="2" t="s">
        <v>496</v>
      </c>
      <c r="B92" s="2" t="s">
        <v>497</v>
      </c>
      <c r="C92" s="2" t="s">
        <v>117</v>
      </c>
      <c r="D92" s="2" t="s">
        <v>325</v>
      </c>
      <c r="E92" s="17">
        <v>0.39900000000000002</v>
      </c>
      <c r="F92" s="21">
        <v>11431.577479617521</v>
      </c>
      <c r="G92" s="28">
        <v>8.7258298496295942E-6</v>
      </c>
      <c r="H92" s="29">
        <f>G92*'Parameters (Generic)'!$B$3</f>
        <v>0.51871568124108081</v>
      </c>
    </row>
    <row r="93" spans="1:8">
      <c r="A93" s="2" t="s">
        <v>498</v>
      </c>
      <c r="B93" s="2" t="s">
        <v>499</v>
      </c>
      <c r="C93" s="2" t="s">
        <v>119</v>
      </c>
      <c r="D93" s="2" t="s">
        <v>325</v>
      </c>
      <c r="E93" s="17">
        <v>0.79400000000000004</v>
      </c>
      <c r="F93" s="21">
        <v>8976.7079503413079</v>
      </c>
      <c r="G93" s="28">
        <v>2.2112783561422731E-5</v>
      </c>
      <c r="H93" s="29">
        <f>G93*'Parameters (Generic)'!$B$3</f>
        <v>1.3145165315923357</v>
      </c>
    </row>
    <row r="94" spans="1:8">
      <c r="A94" s="2" t="s">
        <v>500</v>
      </c>
      <c r="B94" s="2" t="s">
        <v>501</v>
      </c>
      <c r="C94" s="2" t="s">
        <v>119</v>
      </c>
      <c r="D94" s="2" t="s">
        <v>319</v>
      </c>
      <c r="E94" s="17">
        <v>0.88</v>
      </c>
      <c r="F94" s="21">
        <v>10315.606558536716</v>
      </c>
      <c r="G94" s="28">
        <v>2.1326908771829635E-5</v>
      </c>
      <c r="H94" s="29">
        <f>G94*'Parameters (Generic)'!$B$3</f>
        <v>1.2677994188501844</v>
      </c>
    </row>
    <row r="95" spans="1:8">
      <c r="A95" s="2" t="s">
        <v>502</v>
      </c>
      <c r="B95" s="2" t="s">
        <v>503</v>
      </c>
      <c r="C95" s="2" t="s">
        <v>115</v>
      </c>
      <c r="D95" s="2" t="s">
        <v>121</v>
      </c>
      <c r="E95" s="17">
        <v>0.14799999999999999</v>
      </c>
      <c r="F95" s="21">
        <v>11617.240826378447</v>
      </c>
      <c r="G95" s="28">
        <v>3.1849214932332912E-6</v>
      </c>
      <c r="H95" s="29">
        <f>G95*'Parameters (Generic)'!$B$3</f>
        <v>0.18933084308674622</v>
      </c>
    </row>
    <row r="96" spans="1:8">
      <c r="A96" s="2" t="s">
        <v>504</v>
      </c>
      <c r="B96" s="2" t="s">
        <v>505</v>
      </c>
      <c r="C96" s="2" t="s">
        <v>115</v>
      </c>
      <c r="D96" s="2" t="s">
        <v>121</v>
      </c>
      <c r="E96" s="17">
        <v>8.6999999999999994E-2</v>
      </c>
      <c r="F96" s="21">
        <v>21385.995691938988</v>
      </c>
      <c r="G96" s="28">
        <v>1.0170206855600469E-6</v>
      </c>
      <c r="H96" s="29">
        <f>G96*'Parameters (Generic)'!$B$3</f>
        <v>6.0457811673802549E-2</v>
      </c>
    </row>
    <row r="97" spans="1:8">
      <c r="A97" s="18" t="s">
        <v>506</v>
      </c>
      <c r="B97" s="2" t="s">
        <v>507</v>
      </c>
      <c r="C97" s="2" t="s">
        <v>114</v>
      </c>
      <c r="D97" s="2" t="s">
        <v>121</v>
      </c>
      <c r="E97" s="17">
        <v>0.09</v>
      </c>
      <c r="F97" s="21">
        <v>13145.297757213011</v>
      </c>
      <c r="G97" s="28">
        <v>1.7116386722890266E-6</v>
      </c>
      <c r="H97" s="29">
        <f>G97*'Parameters (Generic)'!$B$3</f>
        <v>0.10175007251289347</v>
      </c>
    </row>
    <row r="98" spans="1:8">
      <c r="A98" s="2" t="s">
        <v>508</v>
      </c>
      <c r="B98" s="2" t="s">
        <v>509</v>
      </c>
      <c r="C98" s="2" t="s">
        <v>115</v>
      </c>
      <c r="D98" s="2" t="s">
        <v>322</v>
      </c>
      <c r="E98" s="17">
        <v>0.34499999999999997</v>
      </c>
      <c r="F98" s="21">
        <v>6373.4268872406647</v>
      </c>
      <c r="G98" s="28">
        <v>1.3532751144077436E-5</v>
      </c>
      <c r="H98" s="29">
        <f>G98*'Parameters (Generic)'!$B$3</f>
        <v>0.80446792451082727</v>
      </c>
    </row>
    <row r="99" spans="1:8">
      <c r="A99" s="2" t="s">
        <v>510</v>
      </c>
      <c r="B99" s="2" t="s">
        <v>511</v>
      </c>
      <c r="C99" s="2" t="s">
        <v>119</v>
      </c>
      <c r="D99" s="2" t="s">
        <v>319</v>
      </c>
      <c r="E99" s="17">
        <v>0.79200000000000004</v>
      </c>
      <c r="F99" s="21">
        <v>7390.5394407858503</v>
      </c>
      <c r="G99" s="28">
        <v>2.6791007826479619E-5</v>
      </c>
      <c r="H99" s="29">
        <f>G99*'Parameters (Generic)'!$B$3</f>
        <v>1.5926182512529075</v>
      </c>
    </row>
    <row r="100" spans="1:8">
      <c r="A100" s="2" t="s">
        <v>512</v>
      </c>
      <c r="B100" s="2" t="s">
        <v>513</v>
      </c>
      <c r="C100" s="2" t="s">
        <v>119</v>
      </c>
      <c r="D100" s="2" t="s">
        <v>319</v>
      </c>
      <c r="E100" s="17">
        <v>0.874</v>
      </c>
      <c r="F100" s="21">
        <v>9099.0881914668516</v>
      </c>
      <c r="G100" s="28">
        <v>2.4013395122921204E-5</v>
      </c>
      <c r="H100" s="29">
        <f>G100*'Parameters (Generic)'!$B$3</f>
        <v>1.427500286477174</v>
      </c>
    </row>
    <row r="101" spans="1:8">
      <c r="A101" s="2" t="s">
        <v>514</v>
      </c>
      <c r="B101" s="2" t="s">
        <v>515</v>
      </c>
      <c r="C101" s="2" t="s">
        <v>114</v>
      </c>
      <c r="D101" s="2" t="s">
        <v>322</v>
      </c>
      <c r="E101" s="17">
        <v>0.27900000000000003</v>
      </c>
      <c r="F101" s="21">
        <v>7247.8989556819233</v>
      </c>
      <c r="G101" s="28">
        <v>9.6234785317088527E-6</v>
      </c>
      <c r="H101" s="29">
        <f>G101*'Parameters (Generic)'!$B$3</f>
        <v>0.57207730479596441</v>
      </c>
    </row>
    <row r="102" spans="1:8">
      <c r="A102" s="2" t="s">
        <v>516</v>
      </c>
      <c r="B102" s="2" t="s">
        <v>517</v>
      </c>
      <c r="C102" s="2" t="s">
        <v>118</v>
      </c>
      <c r="D102" s="2" t="s">
        <v>322</v>
      </c>
      <c r="E102" s="17">
        <v>0.40699999999999997</v>
      </c>
      <c r="F102" s="21">
        <v>11128.511922843903</v>
      </c>
      <c r="G102" s="28">
        <v>9.1431811104172911E-6</v>
      </c>
      <c r="H102" s="29">
        <f>G102*'Parameters (Generic)'!$B$3</f>
        <v>0.54352554428986632</v>
      </c>
    </row>
    <row r="103" spans="1:8">
      <c r="A103" s="2" t="s">
        <v>518</v>
      </c>
      <c r="B103" s="2" t="s">
        <v>519</v>
      </c>
      <c r="C103" s="2" t="s">
        <v>119</v>
      </c>
      <c r="D103" s="2" t="s">
        <v>319</v>
      </c>
      <c r="E103" s="17">
        <v>0.96299999999999997</v>
      </c>
      <c r="F103" s="21">
        <v>8225.5287473940753</v>
      </c>
      <c r="G103" s="28">
        <v>2.9268635171480237E-5</v>
      </c>
      <c r="H103" s="29">
        <f>G103*'Parameters (Generic)'!$B$3</f>
        <v>1.7399032864038142</v>
      </c>
    </row>
    <row r="104" spans="1:8">
      <c r="A104" s="2" t="s">
        <v>520</v>
      </c>
      <c r="B104" s="2" t="s">
        <v>521</v>
      </c>
      <c r="C104" s="2" t="s">
        <v>117</v>
      </c>
      <c r="D104" s="2" t="s">
        <v>121</v>
      </c>
      <c r="E104" s="17">
        <v>0.125</v>
      </c>
      <c r="F104" s="21">
        <v>13341.919236428206</v>
      </c>
      <c r="G104" s="28">
        <v>2.3422417304608124E-6</v>
      </c>
      <c r="H104" s="29">
        <f>G104*'Parameters (Generic)'!$B$3</f>
        <v>0.13923690190897345</v>
      </c>
    </row>
    <row r="105" spans="1:8">
      <c r="A105" s="2" t="s">
        <v>522</v>
      </c>
      <c r="B105" s="2" t="s">
        <v>523</v>
      </c>
      <c r="C105" s="2" t="s">
        <v>119</v>
      </c>
      <c r="D105" s="2" t="s">
        <v>325</v>
      </c>
      <c r="E105" s="17">
        <v>0.76</v>
      </c>
      <c r="F105" s="21">
        <v>8166.8825568467764</v>
      </c>
      <c r="G105" s="28">
        <v>2.3264691107956714E-5</v>
      </c>
      <c r="H105" s="29">
        <f>G105*'Parameters (Generic)'!$B$3</f>
        <v>1.3829928276035948</v>
      </c>
    </row>
    <row r="106" spans="1:8">
      <c r="A106" s="2" t="s">
        <v>524</v>
      </c>
      <c r="B106" s="2" t="s">
        <v>525</v>
      </c>
      <c r="C106" s="2" t="s">
        <v>119</v>
      </c>
      <c r="D106" s="2" t="s">
        <v>322</v>
      </c>
      <c r="E106" s="17">
        <v>0.28999999999999998</v>
      </c>
      <c r="F106" s="21">
        <v>7608.4982088064844</v>
      </c>
      <c r="G106" s="28">
        <v>9.5288186985553343E-6</v>
      </c>
      <c r="H106" s="29">
        <f>G106*'Parameters (Generic)'!$B$3</f>
        <v>0.56645015635432039</v>
      </c>
    </row>
    <row r="107" spans="1:8">
      <c r="A107" s="2" t="s">
        <v>526</v>
      </c>
      <c r="B107" s="2" t="s">
        <v>527</v>
      </c>
      <c r="C107" s="2" t="s">
        <v>116</v>
      </c>
      <c r="D107" s="2" t="s">
        <v>322</v>
      </c>
      <c r="E107" s="17">
        <v>8.3000000000000004E-2</v>
      </c>
      <c r="F107" s="21">
        <v>11477.912262269285</v>
      </c>
      <c r="G107" s="28">
        <v>1.807820056981124E-6</v>
      </c>
      <c r="H107" s="29">
        <f>G107*'Parameters (Generic)'!$B$3</f>
        <v>0.10746767110729989</v>
      </c>
    </row>
    <row r="108" spans="1:8">
      <c r="A108" s="18" t="s">
        <v>528</v>
      </c>
      <c r="B108" s="2" t="s">
        <v>529</v>
      </c>
      <c r="C108" s="2" t="s">
        <v>114</v>
      </c>
      <c r="D108" s="2" t="s">
        <v>325</v>
      </c>
      <c r="E108" s="17">
        <v>0.625</v>
      </c>
      <c r="F108" s="21">
        <v>21525.558313914178</v>
      </c>
      <c r="G108" s="28">
        <v>7.2588128828695503E-6</v>
      </c>
      <c r="H108" s="29">
        <f>G108*'Parameters (Generic)'!$B$3</f>
        <v>0.43150739063506327</v>
      </c>
    </row>
    <row r="109" spans="1:8">
      <c r="A109" s="2" t="s">
        <v>530</v>
      </c>
      <c r="B109" s="2" t="s">
        <v>531</v>
      </c>
      <c r="C109" s="2" t="s">
        <v>115</v>
      </c>
      <c r="D109" s="2" t="s">
        <v>322</v>
      </c>
      <c r="E109" s="17">
        <v>0.38900000000000001</v>
      </c>
      <c r="F109" s="21">
        <v>8590.7201737388859</v>
      </c>
      <c r="G109" s="28">
        <v>1.1320354758764594E-5</v>
      </c>
      <c r="H109" s="29">
        <f>G109*'Parameters (Generic)'!$B$3</f>
        <v>0.67294980898952006</v>
      </c>
    </row>
    <row r="110" spans="1:8">
      <c r="A110" s="2" t="s">
        <v>532</v>
      </c>
      <c r="B110" s="2" t="s">
        <v>533</v>
      </c>
      <c r="C110" s="2" t="s">
        <v>114</v>
      </c>
      <c r="D110" s="2" t="s">
        <v>325</v>
      </c>
      <c r="E110" s="17">
        <v>0.41199999999999998</v>
      </c>
      <c r="F110" s="21">
        <v>10673.395275837916</v>
      </c>
      <c r="G110" s="28">
        <v>9.6501626088155871E-6</v>
      </c>
      <c r="H110" s="29">
        <f>G110*'Parameters (Generic)'!$B$3</f>
        <v>0.57366356644365135</v>
      </c>
    </row>
    <row r="111" spans="1:8">
      <c r="A111" s="2" t="s">
        <v>534</v>
      </c>
      <c r="B111" s="2" t="s">
        <v>535</v>
      </c>
      <c r="C111" s="2" t="s">
        <v>115</v>
      </c>
      <c r="D111" s="2" t="s">
        <v>322</v>
      </c>
      <c r="E111" s="17">
        <v>0.245</v>
      </c>
      <c r="F111" s="21">
        <v>11220.973563156509</v>
      </c>
      <c r="G111" s="28">
        <v>5.4585281442165795E-6</v>
      </c>
      <c r="H111" s="29">
        <f>G111*'Parameters (Generic)'!$B$3</f>
        <v>0.3244876640610988</v>
      </c>
    </row>
    <row r="112" spans="1:8">
      <c r="A112" s="2" t="s">
        <v>536</v>
      </c>
      <c r="B112" s="2" t="s">
        <v>537</v>
      </c>
      <c r="C112" s="2" t="s">
        <v>117</v>
      </c>
      <c r="D112" s="2" t="s">
        <v>325</v>
      </c>
      <c r="E112" s="17">
        <v>0.505</v>
      </c>
      <c r="F112" s="21">
        <v>6228.941104921123</v>
      </c>
      <c r="G112" s="28">
        <v>2.0268292455078319E-5</v>
      </c>
      <c r="H112" s="29">
        <f>G112*'Parameters (Generic)'!$B$3</f>
        <v>1.2048689132845858</v>
      </c>
    </row>
    <row r="113" spans="1:8">
      <c r="A113" s="2" t="s">
        <v>538</v>
      </c>
      <c r="B113" s="2" t="s">
        <v>539</v>
      </c>
      <c r="C113" s="2" t="s">
        <v>119</v>
      </c>
      <c r="D113" s="2" t="s">
        <v>319</v>
      </c>
      <c r="E113" s="17">
        <v>0.92300000000000004</v>
      </c>
      <c r="F113" s="21">
        <v>9215.5996288236529</v>
      </c>
      <c r="G113" s="28">
        <v>2.5039065203992012E-5</v>
      </c>
      <c r="H113" s="29">
        <f>G113*'Parameters (Generic)'!$B$3</f>
        <v>1.4884722701165092</v>
      </c>
    </row>
    <row r="114" spans="1:8">
      <c r="A114" s="2" t="s">
        <v>540</v>
      </c>
      <c r="B114" s="2" t="s">
        <v>541</v>
      </c>
      <c r="C114" s="2" t="s">
        <v>114</v>
      </c>
      <c r="D114" s="2" t="s">
        <v>325</v>
      </c>
      <c r="E114" s="17">
        <v>0.69199999999999995</v>
      </c>
      <c r="F114" s="21">
        <v>6083.8115560545557</v>
      </c>
      <c r="G114" s="28">
        <v>2.8436120745362653E-5</v>
      </c>
      <c r="H114" s="29">
        <f>G114*'Parameters (Generic)'!$B$3</f>
        <v>1.6904136338288283</v>
      </c>
    </row>
    <row r="115" spans="1:8">
      <c r="A115" s="2" t="s">
        <v>542</v>
      </c>
      <c r="B115" s="2" t="s">
        <v>543</v>
      </c>
      <c r="C115" s="2" t="s">
        <v>119</v>
      </c>
      <c r="D115" s="2" t="s">
        <v>322</v>
      </c>
      <c r="E115" s="17">
        <v>0.57799999999999996</v>
      </c>
      <c r="F115" s="21">
        <v>8387.3038717160671</v>
      </c>
      <c r="G115" s="28">
        <v>1.7228420742842939E-5</v>
      </c>
      <c r="H115" s="29">
        <f>G115*'Parameters (Generic)'!$B$3</f>
        <v>1.0241606994790413</v>
      </c>
    </row>
    <row r="116" spans="1:8">
      <c r="A116" s="2" t="s">
        <v>544</v>
      </c>
      <c r="B116" s="2" t="s">
        <v>545</v>
      </c>
      <c r="C116" s="2" t="s">
        <v>118</v>
      </c>
      <c r="D116" s="2" t="s">
        <v>325</v>
      </c>
      <c r="E116" s="17">
        <v>0.65800000000000003</v>
      </c>
      <c r="F116" s="21">
        <v>3978.352308935373</v>
      </c>
      <c r="G116" s="28">
        <v>4.1348776384266743E-5</v>
      </c>
      <c r="H116" s="29">
        <f>G116*'Parameters (Generic)'!$B$3</f>
        <v>2.458019360939121</v>
      </c>
    </row>
    <row r="117" spans="1:8">
      <c r="A117" s="2" t="s">
        <v>546</v>
      </c>
      <c r="B117" s="2" t="s">
        <v>547</v>
      </c>
      <c r="C117" s="2" t="s">
        <v>115</v>
      </c>
      <c r="D117" s="2" t="s">
        <v>121</v>
      </c>
      <c r="E117" s="17">
        <v>0.11600000000000001</v>
      </c>
      <c r="F117" s="21">
        <v>17832.973839438106</v>
      </c>
      <c r="G117" s="28">
        <v>1.6262010061308851E-6</v>
      </c>
      <c r="H117" s="29">
        <f>G117*'Parameters (Generic)'!$B$3</f>
        <v>9.6671145010456594E-2</v>
      </c>
    </row>
    <row r="118" spans="1:8">
      <c r="A118" s="2" t="s">
        <v>548</v>
      </c>
      <c r="B118" s="2" t="s">
        <v>549</v>
      </c>
      <c r="C118" s="2" t="s">
        <v>114</v>
      </c>
      <c r="D118" s="2" t="s">
        <v>121</v>
      </c>
      <c r="E118" s="17">
        <v>0.1</v>
      </c>
      <c r="F118" s="21">
        <v>18760.32338574672</v>
      </c>
      <c r="G118" s="28">
        <v>1.3325996298653314E-6</v>
      </c>
      <c r="H118" s="29">
        <f>G118*'Parameters (Generic)'!$B$3</f>
        <v>7.9217717596974491E-2</v>
      </c>
    </row>
    <row r="119" spans="1:8">
      <c r="A119" s="2" t="s">
        <v>550</v>
      </c>
      <c r="B119" s="2" t="s">
        <v>551</v>
      </c>
      <c r="C119" s="2" t="s">
        <v>116</v>
      </c>
      <c r="D119" s="2" t="s">
        <v>325</v>
      </c>
      <c r="E119" s="17">
        <v>0.55200000000000005</v>
      </c>
      <c r="F119" s="21">
        <v>8165.6430813441593</v>
      </c>
      <c r="G119" s="28">
        <v>1.6900077388305786E-5</v>
      </c>
      <c r="H119" s="29">
        <f>G119*'Parameters (Generic)'!$B$3</f>
        <v>1.0046420004252259</v>
      </c>
    </row>
    <row r="120" spans="1:8">
      <c r="A120" s="2" t="s">
        <v>552</v>
      </c>
      <c r="B120" s="2" t="s">
        <v>553</v>
      </c>
      <c r="C120" s="2" t="s">
        <v>119</v>
      </c>
      <c r="D120" s="2" t="s">
        <v>319</v>
      </c>
      <c r="E120" s="17">
        <v>1.036</v>
      </c>
      <c r="F120" s="21">
        <v>9445.3338555221471</v>
      </c>
      <c r="G120" s="28">
        <v>2.7420947100623393E-5</v>
      </c>
      <c r="H120" s="29">
        <f>G120*'Parameters (Generic)'!$B$3</f>
        <v>1.6300656213436582</v>
      </c>
    </row>
    <row r="121" spans="1:8">
      <c r="A121" s="2" t="s">
        <v>554</v>
      </c>
      <c r="B121" s="2" t="s">
        <v>555</v>
      </c>
      <c r="C121" s="2" t="s">
        <v>119</v>
      </c>
      <c r="D121" s="2" t="s">
        <v>325</v>
      </c>
      <c r="E121" s="17">
        <v>0.77200000000000002</v>
      </c>
      <c r="F121" s="21">
        <v>9026.4699156361112</v>
      </c>
      <c r="G121" s="28">
        <v>2.138155910381705E-5</v>
      </c>
      <c r="H121" s="29">
        <f>G121*'Parameters (Generic)'!$B$3</f>
        <v>1.2710481624855083</v>
      </c>
    </row>
    <row r="122" spans="1:8">
      <c r="A122" s="2" t="s">
        <v>556</v>
      </c>
      <c r="B122" s="2" t="s">
        <v>557</v>
      </c>
      <c r="C122" s="2" t="s">
        <v>115</v>
      </c>
      <c r="D122" s="2" t="s">
        <v>121</v>
      </c>
      <c r="E122" s="17">
        <v>0.129</v>
      </c>
      <c r="F122" s="21">
        <v>20175.188186321975</v>
      </c>
      <c r="G122" s="28">
        <v>1.5984981008437036E-6</v>
      </c>
      <c r="H122" s="29">
        <f>G122*'Parameters (Generic)'!$B$3</f>
        <v>9.5024318102754801E-2</v>
      </c>
    </row>
    <row r="123" spans="1:8">
      <c r="A123" s="2" t="s">
        <v>558</v>
      </c>
      <c r="B123" s="2" t="s">
        <v>559</v>
      </c>
      <c r="C123" s="2" t="s">
        <v>118</v>
      </c>
      <c r="D123" s="2" t="s">
        <v>325</v>
      </c>
      <c r="E123" s="17">
        <v>0.74</v>
      </c>
      <c r="F123" s="21">
        <v>4148.1894205161398</v>
      </c>
      <c r="G123" s="28">
        <v>4.4597770556239767E-5</v>
      </c>
      <c r="H123" s="29">
        <f>G123*'Parameters (Generic)'!$B$3</f>
        <v>2.651159068486229</v>
      </c>
    </row>
    <row r="124" spans="1:8">
      <c r="A124" s="18" t="s">
        <v>560</v>
      </c>
      <c r="B124" s="2" t="s">
        <v>561</v>
      </c>
      <c r="C124" s="2" t="s">
        <v>114</v>
      </c>
      <c r="D124" s="2" t="s">
        <v>322</v>
      </c>
      <c r="E124" s="17">
        <v>0.25</v>
      </c>
      <c r="F124" s="21">
        <v>18715.347044123228</v>
      </c>
      <c r="G124" s="28">
        <v>3.3395052655262149E-6</v>
      </c>
      <c r="H124" s="29">
        <f>G124*'Parameters (Generic)'!$B$3</f>
        <v>0.19852023001447136</v>
      </c>
    </row>
    <row r="125" spans="1:8">
      <c r="A125" s="2" t="s">
        <v>562</v>
      </c>
      <c r="B125" s="2" t="s">
        <v>563</v>
      </c>
      <c r="C125" s="2" t="s">
        <v>116</v>
      </c>
      <c r="D125" s="2" t="s">
        <v>121</v>
      </c>
      <c r="E125" s="17">
        <v>0.27</v>
      </c>
      <c r="F125" s="21">
        <v>17870.818228199118</v>
      </c>
      <c r="G125" s="28">
        <v>3.777107412658303E-6</v>
      </c>
      <c r="H125" s="29">
        <f>G125*'Parameters (Generic)'!$B$3</f>
        <v>0.22453392725288548</v>
      </c>
    </row>
    <row r="126" spans="1:8">
      <c r="A126" s="2" t="s">
        <v>564</v>
      </c>
      <c r="B126" s="2" t="s">
        <v>565</v>
      </c>
      <c r="C126" s="2" t="s">
        <v>114</v>
      </c>
      <c r="D126" s="2" t="s">
        <v>325</v>
      </c>
      <c r="E126" s="17">
        <v>0.74299999999999999</v>
      </c>
      <c r="F126" s="21">
        <v>16048.613781874852</v>
      </c>
      <c r="G126" s="28">
        <v>1.1574208372425551E-5</v>
      </c>
      <c r="H126" s="29">
        <f>G126*'Parameters (Generic)'!$B$3</f>
        <v>0.68804039090720925</v>
      </c>
    </row>
    <row r="127" spans="1:8">
      <c r="A127" s="2" t="s">
        <v>566</v>
      </c>
      <c r="B127" s="2" t="s">
        <v>567</v>
      </c>
      <c r="C127" s="2" t="s">
        <v>116</v>
      </c>
      <c r="D127" s="2" t="s">
        <v>322</v>
      </c>
      <c r="E127" s="17">
        <v>0.42899999999999999</v>
      </c>
      <c r="F127" s="21">
        <v>7806.9894155591974</v>
      </c>
      <c r="G127" s="28">
        <v>1.3737689945659792E-5</v>
      </c>
      <c r="H127" s="29">
        <f>G127*'Parameters (Generic)'!$B$3</f>
        <v>0.81665071650969201</v>
      </c>
    </row>
    <row r="128" spans="1:8">
      <c r="A128" s="2" t="s">
        <v>568</v>
      </c>
      <c r="B128" s="2" t="s">
        <v>569</v>
      </c>
      <c r="C128" s="2" t="s">
        <v>116</v>
      </c>
      <c r="D128" s="2" t="s">
        <v>322</v>
      </c>
      <c r="E128" s="17">
        <v>0.33900000000000002</v>
      </c>
      <c r="F128" s="21">
        <v>8459.7970620316664</v>
      </c>
      <c r="G128" s="28">
        <v>1.0017970806931725E-5</v>
      </c>
      <c r="H128" s="29">
        <f>G128*'Parameters (Generic)'!$B$3</f>
        <v>0.59552829258886331</v>
      </c>
    </row>
    <row r="129" spans="1:8">
      <c r="A129" s="2" t="s">
        <v>570</v>
      </c>
      <c r="B129" s="2" t="s">
        <v>571</v>
      </c>
      <c r="C129" s="2" t="s">
        <v>114</v>
      </c>
      <c r="D129" s="2" t="s">
        <v>325</v>
      </c>
      <c r="E129" s="17">
        <v>0.44700000000000001</v>
      </c>
      <c r="F129" s="21">
        <v>9400.166647699134</v>
      </c>
      <c r="G129" s="28">
        <v>1.1888087114642047E-5</v>
      </c>
      <c r="H129" s="29">
        <f>G129*'Parameters (Generic)'!$B$3</f>
        <v>0.70669922661701112</v>
      </c>
    </row>
    <row r="130" spans="1:8">
      <c r="A130" s="2" t="s">
        <v>572</v>
      </c>
      <c r="B130" s="2" t="s">
        <v>573</v>
      </c>
      <c r="C130" s="2" t="s">
        <v>115</v>
      </c>
      <c r="D130" s="2" t="s">
        <v>121</v>
      </c>
      <c r="E130" s="17">
        <v>0.20899999999999999</v>
      </c>
      <c r="F130" s="21">
        <v>11461.21002540275</v>
      </c>
      <c r="G130" s="28">
        <v>4.5588554685057281E-6</v>
      </c>
      <c r="H130" s="29">
        <f>G130*'Parameters (Generic)'!$B$3</f>
        <v>0.2710057221807915</v>
      </c>
    </row>
    <row r="131" spans="1:8">
      <c r="A131" s="2" t="s">
        <v>574</v>
      </c>
      <c r="B131" s="2" t="s">
        <v>575</v>
      </c>
      <c r="C131" s="2" t="s">
        <v>115</v>
      </c>
      <c r="D131" s="2" t="s">
        <v>121</v>
      </c>
      <c r="E131" s="17">
        <v>9.2999999999999999E-2</v>
      </c>
      <c r="F131" s="21">
        <v>14870.862164655395</v>
      </c>
      <c r="G131" s="28">
        <v>1.5634601237351175E-6</v>
      </c>
      <c r="H131" s="29">
        <f>G131*'Parameters (Generic)'!$B$3</f>
        <v>9.29414505155578E-2</v>
      </c>
    </row>
    <row r="132" spans="1:8">
      <c r="A132" s="2" t="s">
        <v>576</v>
      </c>
      <c r="B132" s="2" t="s">
        <v>577</v>
      </c>
      <c r="C132" s="2" t="s">
        <v>116</v>
      </c>
      <c r="D132" s="2" t="s">
        <v>121</v>
      </c>
      <c r="E132" s="17">
        <v>0.216</v>
      </c>
      <c r="F132" s="21">
        <v>17246.111705678009</v>
      </c>
      <c r="G132" s="28">
        <v>3.1311405678893612E-6</v>
      </c>
      <c r="H132" s="29">
        <f>G132*'Parameters (Generic)'!$B$3</f>
        <v>0.18613378219875096</v>
      </c>
    </row>
    <row r="133" spans="1:8">
      <c r="A133" s="18" t="s">
        <v>578</v>
      </c>
      <c r="B133" s="2" t="s">
        <v>579</v>
      </c>
      <c r="C133" s="2" t="s">
        <v>117</v>
      </c>
      <c r="D133" s="2" t="s">
        <v>121</v>
      </c>
      <c r="E133" s="17">
        <v>0.21</v>
      </c>
      <c r="F133" s="21">
        <v>19396.905597429832</v>
      </c>
      <c r="G133" s="28">
        <v>2.7066172867777663E-6</v>
      </c>
      <c r="H133" s="29">
        <f>G133*'Parameters (Generic)'!$B$3</f>
        <v>0.16089757122979109</v>
      </c>
    </row>
    <row r="134" spans="1:8">
      <c r="A134" s="2" t="s">
        <v>580</v>
      </c>
      <c r="B134" s="2" t="s">
        <v>581</v>
      </c>
      <c r="C134" s="2" t="s">
        <v>115</v>
      </c>
      <c r="D134" s="2" t="s">
        <v>121</v>
      </c>
      <c r="E134" s="17">
        <v>0.15</v>
      </c>
      <c r="F134" s="21">
        <v>8294.6048646786112</v>
      </c>
      <c r="G134" s="28">
        <v>4.5210110200292228E-6</v>
      </c>
      <c r="H134" s="29">
        <f>G134*'Parameters (Generic)'!$B$3</f>
        <v>0.26875602109665719</v>
      </c>
    </row>
    <row r="135" spans="1:8">
      <c r="A135" s="2" t="s">
        <v>582</v>
      </c>
      <c r="B135" s="2" t="s">
        <v>583</v>
      </c>
      <c r="C135" s="2" t="s">
        <v>115</v>
      </c>
      <c r="D135" s="2" t="s">
        <v>322</v>
      </c>
      <c r="E135" s="17">
        <v>0.254</v>
      </c>
      <c r="F135" s="21">
        <v>10112.970938581933</v>
      </c>
      <c r="G135" s="28">
        <v>6.2790648154383138E-6</v>
      </c>
      <c r="H135" s="29">
        <f>G135*'Parameters (Generic)'!$B$3</f>
        <v>0.373265287018546</v>
      </c>
    </row>
    <row r="136" spans="1:8">
      <c r="A136" s="2" t="s">
        <v>584</v>
      </c>
      <c r="B136" s="2" t="s">
        <v>585</v>
      </c>
      <c r="C136" s="2" t="s">
        <v>119</v>
      </c>
      <c r="D136" s="2" t="s">
        <v>319</v>
      </c>
      <c r="E136" s="17">
        <v>0.76500000000000001</v>
      </c>
      <c r="F136" s="21">
        <v>5670.8974345540046</v>
      </c>
      <c r="G136" s="28">
        <v>3.3724820843112487E-5</v>
      </c>
      <c r="H136" s="29">
        <f>G136*'Parameters (Generic)'!$B$3</f>
        <v>2.0048056998396651</v>
      </c>
    </row>
    <row r="137" spans="1:8">
      <c r="A137" s="2" t="s">
        <v>586</v>
      </c>
      <c r="B137" s="2" t="s">
        <v>587</v>
      </c>
      <c r="C137" s="2" t="s">
        <v>114</v>
      </c>
      <c r="D137" s="2" t="s">
        <v>325</v>
      </c>
      <c r="E137" s="17">
        <v>0.45200000000000001</v>
      </c>
      <c r="F137" s="21">
        <v>14201.779103216926</v>
      </c>
      <c r="G137" s="28">
        <v>7.9567495860010762E-6</v>
      </c>
      <c r="H137" s="29">
        <f>G137*'Parameters (Generic)'!$B$3</f>
        <v>0.47299693588941999</v>
      </c>
    </row>
    <row r="138" spans="1:8">
      <c r="A138" s="18" t="s">
        <v>588</v>
      </c>
      <c r="B138" s="2" t="s">
        <v>589</v>
      </c>
      <c r="C138" s="2" t="s">
        <v>119</v>
      </c>
      <c r="D138" s="2" t="s">
        <v>325</v>
      </c>
      <c r="E138" s="17">
        <v>0.61599999999999999</v>
      </c>
      <c r="F138" s="21">
        <v>13623.961465477092</v>
      </c>
      <c r="G138" s="28">
        <v>1.130361388574341E-5</v>
      </c>
      <c r="H138" s="29">
        <f>G138*'Parameters (Generic)'!$B$3</f>
        <v>0.67195463105190278</v>
      </c>
    </row>
    <row r="139" spans="1:8">
      <c r="A139" s="18" t="s">
        <v>590</v>
      </c>
      <c r="B139" s="2" t="s">
        <v>591</v>
      </c>
      <c r="C139" s="2" t="s">
        <v>117</v>
      </c>
      <c r="D139" s="2" t="s">
        <v>121</v>
      </c>
      <c r="E139" s="17">
        <v>0.19900000000000001</v>
      </c>
      <c r="F139" s="21">
        <v>9315.4907976206086</v>
      </c>
      <c r="G139" s="28">
        <v>5.3405667055897153E-6</v>
      </c>
      <c r="H139" s="29">
        <f>G139*'Parameters (Generic)'!$B$3</f>
        <v>0.3174753283804862</v>
      </c>
    </row>
    <row r="140" spans="1:8">
      <c r="A140" s="2" t="s">
        <v>592</v>
      </c>
      <c r="B140" s="2" t="s">
        <v>593</v>
      </c>
      <c r="C140" s="2" t="s">
        <v>119</v>
      </c>
      <c r="D140" s="2" t="s">
        <v>325</v>
      </c>
      <c r="E140" s="17">
        <v>0.82099999999999995</v>
      </c>
      <c r="F140" s="21">
        <v>9253.5886991135267</v>
      </c>
      <c r="G140" s="28">
        <v>2.2180583844153617E-5</v>
      </c>
      <c r="H140" s="29">
        <f>G140*'Parameters (Generic)'!$B$3</f>
        <v>1.3185469871995559</v>
      </c>
    </row>
    <row r="141" spans="1:8">
      <c r="A141" s="2" t="s">
        <v>594</v>
      </c>
      <c r="B141" s="2" t="s">
        <v>595</v>
      </c>
      <c r="C141" s="2" t="s">
        <v>115</v>
      </c>
      <c r="D141" s="2" t="s">
        <v>322</v>
      </c>
      <c r="E141" s="17">
        <v>0.28699999999999998</v>
      </c>
      <c r="F141" s="21">
        <v>9815.5472465261755</v>
      </c>
      <c r="G141" s="28">
        <v>7.3098318614270911E-6</v>
      </c>
      <c r="H141" s="29">
        <f>G141*'Parameters (Generic)'!$B$3</f>
        <v>0.43454026483439484</v>
      </c>
    </row>
    <row r="142" spans="1:8">
      <c r="A142" s="2" t="s">
        <v>596</v>
      </c>
      <c r="B142" s="2" t="s">
        <v>597</v>
      </c>
      <c r="C142" s="2" t="s">
        <v>119</v>
      </c>
      <c r="D142" s="2" t="s">
        <v>121</v>
      </c>
      <c r="E142" s="17">
        <v>0.30499999999999999</v>
      </c>
      <c r="F142" s="21">
        <v>10627.580661025753</v>
      </c>
      <c r="G142" s="28">
        <v>7.1747279491022468E-6</v>
      </c>
      <c r="H142" s="29">
        <f>G142*'Parameters (Generic)'!$B$3</f>
        <v>0.42650887766233214</v>
      </c>
    </row>
    <row r="143" spans="1:8">
      <c r="A143" s="2" t="s">
        <v>598</v>
      </c>
      <c r="B143" s="2" t="s">
        <v>599</v>
      </c>
      <c r="C143" s="2" t="s">
        <v>119</v>
      </c>
      <c r="D143" s="2" t="s">
        <v>319</v>
      </c>
      <c r="E143" s="17">
        <v>0.93100000000000005</v>
      </c>
      <c r="F143" s="21">
        <v>6451.1498144584439</v>
      </c>
      <c r="G143" s="28">
        <v>3.6078839694337299E-5</v>
      </c>
      <c r="H143" s="29">
        <f>G143*'Parameters (Generic)'!$B$3</f>
        <v>2.144742704469575</v>
      </c>
    </row>
    <row r="144" spans="1:8">
      <c r="A144" s="2" t="s">
        <v>600</v>
      </c>
      <c r="B144" s="2" t="s">
        <v>601</v>
      </c>
      <c r="C144" s="2" t="s">
        <v>114</v>
      </c>
      <c r="D144" s="2" t="s">
        <v>121</v>
      </c>
      <c r="E144" s="17">
        <v>4.7E-2</v>
      </c>
      <c r="F144" s="21">
        <v>32283.382800586154</v>
      </c>
      <c r="G144" s="28">
        <v>3.639643364693077E-7</v>
      </c>
      <c r="H144" s="29">
        <f>G144*'Parameters (Generic)'!$B$3</f>
        <v>2.1636223945754464E-2</v>
      </c>
    </row>
    <row r="145" spans="1:8">
      <c r="A145" s="2" t="s">
        <v>602</v>
      </c>
      <c r="B145" s="2" t="s">
        <v>603</v>
      </c>
      <c r="C145" s="2" t="s">
        <v>115</v>
      </c>
      <c r="D145" s="2" t="s">
        <v>121</v>
      </c>
      <c r="E145" s="17">
        <v>0.127</v>
      </c>
      <c r="F145" s="21">
        <v>13201.430441045522</v>
      </c>
      <c r="G145" s="28">
        <v>2.4050424036840566E-6</v>
      </c>
      <c r="H145" s="29">
        <f>G145*'Parameters (Generic)'!$B$3</f>
        <v>0.14297015072940242</v>
      </c>
    </row>
    <row r="146" spans="1:8">
      <c r="A146" s="2" t="s">
        <v>604</v>
      </c>
      <c r="B146" s="2" t="s">
        <v>605</v>
      </c>
      <c r="C146" s="2" t="s">
        <v>115</v>
      </c>
      <c r="D146" s="2" t="s">
        <v>121</v>
      </c>
      <c r="E146" s="17">
        <v>0.14399999999999999</v>
      </c>
      <c r="F146" s="21">
        <v>13629.464788378555</v>
      </c>
      <c r="G146" s="28">
        <v>2.6413362930212888E-6</v>
      </c>
      <c r="H146" s="29">
        <f>G146*'Parameters (Generic)'!$B$3</f>
        <v>0.15701687727494354</v>
      </c>
    </row>
    <row r="147" spans="1:8">
      <c r="A147" s="2" t="s">
        <v>606</v>
      </c>
      <c r="B147" s="2" t="s">
        <v>607</v>
      </c>
      <c r="C147" s="2" t="s">
        <v>114</v>
      </c>
      <c r="D147" s="2" t="s">
        <v>325</v>
      </c>
      <c r="E147" s="17">
        <v>0.72099999999999997</v>
      </c>
      <c r="F147" s="21">
        <v>18733.013459016998</v>
      </c>
      <c r="G147" s="28">
        <v>9.6220504188682995E-6</v>
      </c>
      <c r="H147" s="29">
        <f>G147*'Parameters (Generic)'!$B$3</f>
        <v>0.5719924092000449</v>
      </c>
    </row>
    <row r="148" spans="1:8">
      <c r="A148" s="2" t="s">
        <v>608</v>
      </c>
      <c r="B148" s="2" t="s">
        <v>609</v>
      </c>
      <c r="C148" s="2" t="s">
        <v>119</v>
      </c>
      <c r="D148" s="2" t="s">
        <v>319</v>
      </c>
      <c r="E148" s="17">
        <v>1.234</v>
      </c>
      <c r="F148" s="21">
        <v>8546.1911179848939</v>
      </c>
      <c r="G148" s="28">
        <v>3.6097952379134388E-5</v>
      </c>
      <c r="H148" s="29">
        <f>G148*'Parameters (Generic)'!$B$3</f>
        <v>2.145878877130023</v>
      </c>
    </row>
    <row r="149" spans="1:8">
      <c r="A149" s="2" t="s">
        <v>610</v>
      </c>
      <c r="B149" s="2" t="s">
        <v>611</v>
      </c>
      <c r="C149" s="2" t="s">
        <v>119</v>
      </c>
      <c r="D149" s="2" t="s">
        <v>322</v>
      </c>
      <c r="E149" s="17">
        <v>0.46300000000000002</v>
      </c>
      <c r="F149" s="21">
        <v>10668.94905287557</v>
      </c>
      <c r="G149" s="28">
        <v>1.0849241047673974E-5</v>
      </c>
      <c r="H149" s="29">
        <f>G149*'Parameters (Generic)'!$B$3</f>
        <v>0.644943983320027</v>
      </c>
    </row>
    <row r="150" spans="1:8">
      <c r="A150" s="2" t="s">
        <v>612</v>
      </c>
      <c r="B150" s="2" t="s">
        <v>613</v>
      </c>
      <c r="C150" s="2" t="s">
        <v>115</v>
      </c>
      <c r="D150" s="2" t="s">
        <v>121</v>
      </c>
      <c r="E150" s="17">
        <v>0.108</v>
      </c>
      <c r="F150" s="21">
        <v>14982.161013286608</v>
      </c>
      <c r="G150" s="28">
        <v>1.8021432272724628E-6</v>
      </c>
      <c r="H150" s="29">
        <f>G150*'Parameters (Generic)'!$B$3</f>
        <v>0.10713020628843882</v>
      </c>
    </row>
    <row r="151" spans="1:8">
      <c r="A151" s="2" t="s">
        <v>614</v>
      </c>
      <c r="B151" s="2" t="s">
        <v>615</v>
      </c>
      <c r="C151" s="2" t="s">
        <v>118</v>
      </c>
      <c r="D151" s="2" t="s">
        <v>325</v>
      </c>
      <c r="E151" s="17">
        <v>0.33</v>
      </c>
      <c r="F151" s="21">
        <v>6901.6418106129331</v>
      </c>
      <c r="G151" s="28">
        <v>1.1953677438480858E-5</v>
      </c>
      <c r="H151" s="29">
        <f>G151*'Parameters (Generic)'!$B$3</f>
        <v>0.71059830900793308</v>
      </c>
    </row>
    <row r="152" spans="1:8">
      <c r="A152" s="18" t="s">
        <v>616</v>
      </c>
      <c r="B152" s="2" t="s">
        <v>617</v>
      </c>
      <c r="C152" s="2" t="s">
        <v>116</v>
      </c>
      <c r="D152" s="2" t="s">
        <v>121</v>
      </c>
      <c r="E152" s="17">
        <v>0.33600000000000002</v>
      </c>
      <c r="F152" s="21">
        <v>13806.296821510408</v>
      </c>
      <c r="G152" s="28">
        <v>6.0841803624797347E-6</v>
      </c>
      <c r="H152" s="29">
        <f>G152*'Parameters (Generic)'!$B$3</f>
        <v>0.36168018582797029</v>
      </c>
    </row>
    <row r="153" spans="1:8">
      <c r="A153" s="18" t="s">
        <v>618</v>
      </c>
      <c r="B153" s="2" t="s">
        <v>619</v>
      </c>
      <c r="C153" s="2" t="s">
        <v>116</v>
      </c>
      <c r="D153" s="2" t="s">
        <v>322</v>
      </c>
      <c r="E153" s="17">
        <v>0.372</v>
      </c>
      <c r="F153" s="21">
        <v>16630.612305418712</v>
      </c>
      <c r="G153" s="28">
        <v>5.5920971694889451E-6</v>
      </c>
      <c r="H153" s="29">
        <f>G153*'Parameters (Generic)'!$B$3</f>
        <v>0.33242780833743985</v>
      </c>
    </row>
    <row r="154" spans="1:8">
      <c r="A154" s="18" t="s">
        <v>620</v>
      </c>
      <c r="B154" s="2" t="s">
        <v>621</v>
      </c>
      <c r="C154" s="2" t="s">
        <v>116</v>
      </c>
      <c r="D154" s="2" t="s">
        <v>322</v>
      </c>
      <c r="E154" s="17">
        <v>0.41</v>
      </c>
      <c r="F154" s="21">
        <v>12416.475200240811</v>
      </c>
      <c r="G154" s="28">
        <v>8.2551608525752997E-6</v>
      </c>
      <c r="H154" s="29">
        <f>G154*'Parameters (Generic)'!$B$3</f>
        <v>0.49073629204219127</v>
      </c>
    </row>
    <row r="155" spans="1:8">
      <c r="A155" s="2" t="s">
        <v>622</v>
      </c>
      <c r="B155" s="2" t="s">
        <v>623</v>
      </c>
      <c r="C155" s="2" t="s">
        <v>119</v>
      </c>
      <c r="D155" s="2" t="s">
        <v>319</v>
      </c>
      <c r="E155" s="17">
        <v>0.82499999999999996</v>
      </c>
      <c r="F155" s="21">
        <v>6764.8294836428486</v>
      </c>
      <c r="G155" s="28">
        <v>3.0488573362965941E-5</v>
      </c>
      <c r="H155" s="29">
        <f>G155*'Parameters (Generic)'!$B$3</f>
        <v>1.8124237321348733</v>
      </c>
    </row>
    <row r="156" spans="1:8">
      <c r="A156" s="2" t="s">
        <v>624</v>
      </c>
      <c r="B156" s="2" t="s">
        <v>625</v>
      </c>
      <c r="C156" s="2" t="s">
        <v>116</v>
      </c>
      <c r="D156" s="2" t="s">
        <v>322</v>
      </c>
      <c r="E156" s="17">
        <v>0.41</v>
      </c>
      <c r="F156" s="21">
        <v>8200.8640619610651</v>
      </c>
      <c r="G156" s="28">
        <v>1.2498682971156244E-5</v>
      </c>
      <c r="H156" s="29">
        <f>G156*'Parameters (Generic)'!$B$3</f>
        <v>0.74299670790335404</v>
      </c>
    </row>
    <row r="157" spans="1:8">
      <c r="A157" s="2" t="s">
        <v>626</v>
      </c>
      <c r="B157" s="2" t="s">
        <v>627</v>
      </c>
      <c r="C157" s="2" t="s">
        <v>119</v>
      </c>
      <c r="D157" s="2" t="s">
        <v>325</v>
      </c>
      <c r="E157" s="17">
        <v>0.64100000000000001</v>
      </c>
      <c r="F157" s="21">
        <v>9104.5242412493717</v>
      </c>
      <c r="G157" s="28">
        <v>1.7601139362556044E-5</v>
      </c>
      <c r="H157" s="29">
        <f>G157*'Parameters (Generic)'!$B$3</f>
        <v>1.0463173305465066</v>
      </c>
    </row>
    <row r="158" spans="1:8">
      <c r="A158" s="2" t="s">
        <v>628</v>
      </c>
      <c r="B158" s="2" t="s">
        <v>629</v>
      </c>
      <c r="C158" s="2" t="s">
        <v>115</v>
      </c>
      <c r="D158" s="2" t="s">
        <v>121</v>
      </c>
      <c r="E158" s="17">
        <v>0.12</v>
      </c>
      <c r="F158" s="21">
        <v>19647.542930298026</v>
      </c>
      <c r="G158" s="28">
        <v>1.5269084845076319E-6</v>
      </c>
      <c r="H158" s="29">
        <f>G158*'Parameters (Generic)'!$B$3</f>
        <v>9.0768601770040688E-2</v>
      </c>
    </row>
    <row r="159" spans="1:8">
      <c r="A159" s="2" t="s">
        <v>630</v>
      </c>
      <c r="B159" s="2" t="s">
        <v>631</v>
      </c>
      <c r="C159" s="2" t="s">
        <v>115</v>
      </c>
      <c r="D159" s="2" t="s">
        <v>121</v>
      </c>
      <c r="E159" s="17">
        <v>1.6E-2</v>
      </c>
      <c r="F159" s="21">
        <v>30356.358451819491</v>
      </c>
      <c r="G159" s="28">
        <v>1.3176811066942218E-7</v>
      </c>
      <c r="H159" s="29">
        <f>G159*'Parameters (Generic)'!$B$3</f>
        <v>7.8330871068544704E-3</v>
      </c>
    </row>
    <row r="160" spans="1:8">
      <c r="A160" s="2" t="s">
        <v>632</v>
      </c>
      <c r="B160" s="2" t="s">
        <v>633</v>
      </c>
      <c r="C160" s="2" t="s">
        <v>117</v>
      </c>
      <c r="D160" s="2" t="s">
        <v>319</v>
      </c>
      <c r="E160" s="17">
        <v>0.72099999999999997</v>
      </c>
      <c r="F160" s="21">
        <v>5741.1701853594386</v>
      </c>
      <c r="G160" s="28">
        <v>3.1396038469588587E-5</v>
      </c>
      <c r="H160" s="29">
        <f>G160*'Parameters (Generic)'!$B$3</f>
        <v>1.8663689028631631</v>
      </c>
    </row>
    <row r="161" spans="1:8">
      <c r="A161" s="18" t="s">
        <v>634</v>
      </c>
      <c r="B161" s="2" t="s">
        <v>635</v>
      </c>
      <c r="C161" s="2" t="s">
        <v>114</v>
      </c>
      <c r="D161" s="2" t="s">
        <v>121</v>
      </c>
      <c r="E161" s="17">
        <v>8.6999999999999994E-2</v>
      </c>
      <c r="F161" s="21">
        <v>11366.2209763916</v>
      </c>
      <c r="G161" s="28">
        <v>1.9135647674962681E-6</v>
      </c>
      <c r="H161" s="29">
        <f>G161*'Parameters (Generic)'!$B$3</f>
        <v>0.11375377116858315</v>
      </c>
    </row>
    <row r="162" spans="1:8">
      <c r="A162" s="2" t="s">
        <v>636</v>
      </c>
      <c r="B162" s="2" t="s">
        <v>637</v>
      </c>
      <c r="C162" s="2" t="s">
        <v>115</v>
      </c>
      <c r="D162" s="2" t="s">
        <v>325</v>
      </c>
      <c r="E162" s="17">
        <v>0.53800000000000003</v>
      </c>
      <c r="F162" s="21">
        <v>5806.0071153937843</v>
      </c>
      <c r="G162" s="28">
        <v>2.3165662274748649E-5</v>
      </c>
      <c r="H162" s="29">
        <f>G162*'Parameters (Generic)'!$B$3</f>
        <v>1.3771059595847082</v>
      </c>
    </row>
    <row r="163" spans="1:8">
      <c r="A163" s="2" t="s">
        <v>638</v>
      </c>
      <c r="B163" s="2" t="s">
        <v>639</v>
      </c>
      <c r="C163" s="2" t="s">
        <v>119</v>
      </c>
      <c r="D163" s="2" t="s">
        <v>325</v>
      </c>
      <c r="E163" s="17">
        <v>0.79100000000000004</v>
      </c>
      <c r="F163" s="21">
        <v>8543.606059385289</v>
      </c>
      <c r="G163" s="28">
        <v>2.31459642012366E-5</v>
      </c>
      <c r="H163" s="29">
        <f>G163*'Parameters (Generic)'!$B$3</f>
        <v>1.3759349879067109</v>
      </c>
    </row>
    <row r="164" spans="1:8">
      <c r="A164" s="2" t="s">
        <v>640</v>
      </c>
      <c r="B164" s="2" t="s">
        <v>641</v>
      </c>
      <c r="C164" s="2" t="s">
        <v>114</v>
      </c>
      <c r="D164" s="2" t="s">
        <v>322</v>
      </c>
      <c r="E164" s="17">
        <v>0.33900000000000002</v>
      </c>
      <c r="F164" s="21">
        <v>10164.719625483467</v>
      </c>
      <c r="G164" s="28">
        <v>8.3376623382240142E-6</v>
      </c>
      <c r="H164" s="29">
        <f>G164*'Parameters (Generic)'!$B$3</f>
        <v>0.49564067535806472</v>
      </c>
    </row>
    <row r="165" spans="1:8">
      <c r="A165" s="2" t="s">
        <v>642</v>
      </c>
      <c r="B165" s="2" t="s">
        <v>643</v>
      </c>
      <c r="C165" s="2" t="s">
        <v>114</v>
      </c>
      <c r="D165" s="2" t="s">
        <v>325</v>
      </c>
      <c r="E165" s="17">
        <v>0.65</v>
      </c>
      <c r="F165" s="21">
        <v>12056.000711761781</v>
      </c>
      <c r="G165" s="28">
        <v>1.3478764964028721E-5</v>
      </c>
      <c r="H165" s="29">
        <f>G165*'Parameters (Generic)'!$B$3</f>
        <v>0.8012586620516513</v>
      </c>
    </row>
    <row r="166" spans="1:8">
      <c r="A166" s="2" t="s">
        <v>644</v>
      </c>
      <c r="B166" s="2" t="s">
        <v>645</v>
      </c>
      <c r="C166" s="2" t="s">
        <v>119</v>
      </c>
      <c r="D166" s="2" t="s">
        <v>319</v>
      </c>
      <c r="E166" s="17">
        <v>0.81599999999999995</v>
      </c>
      <c r="F166" s="21">
        <v>8887.8077143317842</v>
      </c>
      <c r="G166" s="28">
        <v>2.2952791797131875E-5</v>
      </c>
      <c r="H166" s="29">
        <f>G166*'Parameters (Generic)'!$B$3</f>
        <v>1.3644516611723014</v>
      </c>
    </row>
    <row r="167" spans="1:8">
      <c r="A167" s="2" t="s">
        <v>646</v>
      </c>
      <c r="B167" s="2" t="s">
        <v>647</v>
      </c>
      <c r="C167" s="2" t="s">
        <v>114</v>
      </c>
      <c r="D167" s="2" t="s">
        <v>322</v>
      </c>
      <c r="E167" s="17">
        <v>0.434</v>
      </c>
      <c r="F167" s="21">
        <v>14997.789438113845</v>
      </c>
      <c r="G167" s="28">
        <v>7.234399472516211E-6</v>
      </c>
      <c r="H167" s="29">
        <f>G167*'Parameters (Generic)'!$B$3</f>
        <v>0.43005611104319869</v>
      </c>
    </row>
    <row r="168" spans="1:8">
      <c r="A168" s="2" t="s">
        <v>648</v>
      </c>
      <c r="B168" s="2" t="s">
        <v>649</v>
      </c>
      <c r="C168" s="2" t="s">
        <v>116</v>
      </c>
      <c r="D168" s="2" t="s">
        <v>121</v>
      </c>
      <c r="E168" s="17">
        <v>0.30499999999999999</v>
      </c>
      <c r="F168" s="21">
        <v>11043.617202736903</v>
      </c>
      <c r="G168" s="28">
        <v>6.9044406918688938E-6</v>
      </c>
      <c r="H168" s="29">
        <f>G168*'Parameters (Generic)'!$B$3</f>
        <v>0.41044138136883829</v>
      </c>
    </row>
    <row r="169" spans="1:8">
      <c r="A169" s="2" t="s">
        <v>650</v>
      </c>
      <c r="B169" s="2" t="s">
        <v>651</v>
      </c>
      <c r="C169" s="2" t="s">
        <v>117</v>
      </c>
      <c r="D169" s="2" t="s">
        <v>325</v>
      </c>
      <c r="E169" s="17">
        <v>0.40699999999999997</v>
      </c>
      <c r="F169" s="21">
        <v>5531.4143607239293</v>
      </c>
      <c r="G169" s="28">
        <v>1.8394933621766018E-5</v>
      </c>
      <c r="H169" s="29">
        <f>G169*'Parameters (Generic)'!$B$3</f>
        <v>1.0935052240795027</v>
      </c>
    </row>
    <row r="170" spans="1:8">
      <c r="A170" s="2" t="s">
        <v>652</v>
      </c>
      <c r="B170" s="2" t="s">
        <v>653</v>
      </c>
      <c r="C170" s="2" t="s">
        <v>115</v>
      </c>
      <c r="D170" s="2" t="s">
        <v>322</v>
      </c>
      <c r="E170" s="17">
        <v>0.09</v>
      </c>
      <c r="F170" s="21">
        <v>7263.8921531485485</v>
      </c>
      <c r="G170" s="28">
        <v>3.0975129483781404E-6</v>
      </c>
      <c r="H170" s="29">
        <f>G170*'Parameters (Generic)'!$B$3</f>
        <v>0.18413475472928695</v>
      </c>
    </row>
    <row r="171" spans="1:8">
      <c r="A171" s="2" t="s">
        <v>654</v>
      </c>
      <c r="B171" s="2" t="s">
        <v>655</v>
      </c>
      <c r="C171" s="2" t="s">
        <v>115</v>
      </c>
      <c r="D171" s="2" t="s">
        <v>322</v>
      </c>
      <c r="E171" s="17">
        <v>0.45200000000000001</v>
      </c>
      <c r="F171" s="21">
        <v>11888.054769105245</v>
      </c>
      <c r="G171" s="28">
        <v>9.5053397881094174E-6</v>
      </c>
      <c r="H171" s="29">
        <f>G171*'Parameters (Generic)'!$B$3</f>
        <v>0.56505442904395242</v>
      </c>
    </row>
    <row r="172" spans="1:8">
      <c r="A172" s="2" t="s">
        <v>656</v>
      </c>
      <c r="B172" s="2" t="s">
        <v>657</v>
      </c>
      <c r="C172" s="2" t="s">
        <v>119</v>
      </c>
      <c r="D172" s="2" t="s">
        <v>319</v>
      </c>
      <c r="E172" s="17">
        <v>0.76300000000000001</v>
      </c>
      <c r="F172" s="21">
        <v>5681.6275042208727</v>
      </c>
      <c r="G172" s="28">
        <v>3.3573126689191098E-5</v>
      </c>
      <c r="H172" s="29">
        <f>G172*'Parameters (Generic)'!$B$3</f>
        <v>1.9957880891656541</v>
      </c>
    </row>
    <row r="173" spans="1:8">
      <c r="A173" s="2" t="s">
        <v>658</v>
      </c>
      <c r="B173" s="2" t="s">
        <v>659</v>
      </c>
      <c r="C173" s="2" t="s">
        <v>115</v>
      </c>
      <c r="D173" s="2" t="s">
        <v>325</v>
      </c>
      <c r="E173" s="17">
        <v>0.33600000000000002</v>
      </c>
      <c r="F173" s="21">
        <v>6921.7701678488884</v>
      </c>
      <c r="G173" s="28">
        <v>1.213562397523307E-5</v>
      </c>
      <c r="H173" s="29">
        <f>G173*'Parameters (Generic)'!$B$3</f>
        <v>0.72141430283170505</v>
      </c>
    </row>
    <row r="174" spans="1:8">
      <c r="A174" s="18" t="s">
        <v>660</v>
      </c>
      <c r="B174" s="2" t="s">
        <v>661</v>
      </c>
      <c r="C174" s="2" t="s">
        <v>117</v>
      </c>
      <c r="D174" s="2" t="s">
        <v>121</v>
      </c>
      <c r="E174" s="17">
        <v>0.13400000000000001</v>
      </c>
      <c r="F174" s="21">
        <v>21657.948693905855</v>
      </c>
      <c r="G174" s="28">
        <v>1.5467762193668082E-6</v>
      </c>
      <c r="H174" s="29">
        <f>G174*'Parameters (Generic)'!$B$3</f>
        <v>9.1949659136479275E-2</v>
      </c>
    </row>
    <row r="175" spans="1:8">
      <c r="A175" s="2" t="s">
        <v>662</v>
      </c>
      <c r="B175" s="2" t="s">
        <v>663</v>
      </c>
      <c r="C175" s="2" t="s">
        <v>115</v>
      </c>
      <c r="D175" s="2" t="s">
        <v>121</v>
      </c>
      <c r="E175" s="17">
        <v>9.2999999999999999E-2</v>
      </c>
      <c r="F175" s="21">
        <v>20024.526104622459</v>
      </c>
      <c r="G175" s="28">
        <v>1.1610761662236278E-6</v>
      </c>
      <c r="H175" s="29">
        <f>G175*'Parameters (Generic)'!$B$3</f>
        <v>6.9021333777329788E-2</v>
      </c>
    </row>
    <row r="176" spans="1:8">
      <c r="A176" s="2" t="s">
        <v>664</v>
      </c>
      <c r="B176" s="2" t="s">
        <v>665</v>
      </c>
      <c r="C176" s="2" t="s">
        <v>120</v>
      </c>
      <c r="D176" s="2" t="s">
        <v>121</v>
      </c>
      <c r="E176" s="17">
        <v>0.125</v>
      </c>
      <c r="F176" s="21">
        <v>26428.426170528077</v>
      </c>
      <c r="G176" s="28">
        <v>1.1824389314127509E-6</v>
      </c>
      <c r="H176" s="29">
        <f>G176*'Parameters (Generic)'!$B$3</f>
        <v>7.0291264716762392E-2</v>
      </c>
    </row>
    <row r="177" spans="1:8">
      <c r="A177" s="2" t="s">
        <v>666</v>
      </c>
      <c r="B177" s="2" t="s">
        <v>667</v>
      </c>
      <c r="C177" s="2" t="s">
        <v>116</v>
      </c>
      <c r="D177" s="2" t="s">
        <v>121</v>
      </c>
      <c r="E177" s="17">
        <v>0.26700000000000002</v>
      </c>
      <c r="F177" s="21">
        <v>14720.037434948774</v>
      </c>
      <c r="G177" s="28">
        <v>4.5346352069404435E-6</v>
      </c>
      <c r="H177" s="29">
        <f>G177*'Parameters (Generic)'!$B$3</f>
        <v>0.26956592451178163</v>
      </c>
    </row>
    <row r="178" spans="1:8">
      <c r="A178" s="2" t="s">
        <v>668</v>
      </c>
      <c r="B178" s="2" t="s">
        <v>669</v>
      </c>
      <c r="C178" s="2" t="s">
        <v>115</v>
      </c>
      <c r="D178" s="2" t="s">
        <v>325</v>
      </c>
      <c r="E178" s="17">
        <v>0.443</v>
      </c>
      <c r="F178" s="21">
        <v>9626.3369143663003</v>
      </c>
      <c r="G178" s="28">
        <v>1.1504895474281315E-5</v>
      </c>
      <c r="H178" s="29">
        <f>G178*'Parameters (Generic)'!$B$3</f>
        <v>0.68392001636412703</v>
      </c>
    </row>
    <row r="179" spans="1:8">
      <c r="A179" s="2" t="s">
        <v>670</v>
      </c>
      <c r="B179" s="2" t="s">
        <v>671</v>
      </c>
      <c r="C179" s="2" t="s">
        <v>114</v>
      </c>
      <c r="D179" s="2" t="s">
        <v>325</v>
      </c>
      <c r="E179" s="17">
        <v>0.64500000000000002</v>
      </c>
      <c r="F179" s="21">
        <v>21915.760263122876</v>
      </c>
      <c r="G179" s="28">
        <v>7.3577187404870233E-6</v>
      </c>
      <c r="H179" s="29">
        <f>G179*'Parameters (Generic)'!$B$3</f>
        <v>0.43738694824699159</v>
      </c>
    </row>
    <row r="180" spans="1:8">
      <c r="A180" s="2" t="s">
        <v>672</v>
      </c>
      <c r="B180" s="2" t="s">
        <v>673</v>
      </c>
      <c r="C180" s="2" t="s">
        <v>116</v>
      </c>
      <c r="D180" s="2">
        <v>0</v>
      </c>
      <c r="E180" s="17">
        <v>0.45900000000000002</v>
      </c>
      <c r="F180" s="21">
        <v>8323.2569116542327</v>
      </c>
      <c r="G180" s="28">
        <v>1.3786670436584379E-5</v>
      </c>
      <c r="H180" s="29">
        <f>G180*'Parameters (Generic)'!$B$3</f>
        <v>0.81956241077319492</v>
      </c>
    </row>
    <row r="181" spans="1:8">
      <c r="A181" s="2" t="s">
        <v>674</v>
      </c>
      <c r="B181" s="2" t="s">
        <v>675</v>
      </c>
      <c r="C181" s="2" t="s">
        <v>114</v>
      </c>
      <c r="D181" s="2" t="s">
        <v>325</v>
      </c>
      <c r="E181" s="17">
        <v>0.47199999999999998</v>
      </c>
      <c r="F181" s="21">
        <v>9436.2524539277456</v>
      </c>
      <c r="G181" s="28">
        <v>1.250496429341329E-5</v>
      </c>
      <c r="H181" s="29">
        <f>G181*'Parameters (Generic)'!$B$3</f>
        <v>0.74337010738624643</v>
      </c>
    </row>
    <row r="182" spans="1:8">
      <c r="A182" s="18" t="s">
        <v>676</v>
      </c>
      <c r="B182" s="2" t="s">
        <v>677</v>
      </c>
      <c r="C182" s="2" t="s">
        <v>117</v>
      </c>
      <c r="D182" s="2" t="s">
        <v>322</v>
      </c>
      <c r="E182" s="17">
        <v>0.46500000000000002</v>
      </c>
      <c r="F182" s="21">
        <v>13057.132141702488</v>
      </c>
      <c r="G182" s="28">
        <v>8.9031801729811126E-6</v>
      </c>
      <c r="H182" s="29">
        <f>G182*'Parameters (Generic)'!$B$3</f>
        <v>0.52925844856303517</v>
      </c>
    </row>
    <row r="183" spans="1:8">
      <c r="A183" s="2" t="s">
        <v>678</v>
      </c>
      <c r="B183" s="2" t="s">
        <v>679</v>
      </c>
      <c r="C183" s="2" t="s">
        <v>117</v>
      </c>
      <c r="D183" s="2" t="s">
        <v>319</v>
      </c>
      <c r="E183" s="17">
        <v>0.89800000000000002</v>
      </c>
      <c r="F183" s="21">
        <v>5741.1701853594386</v>
      </c>
      <c r="G183" s="28">
        <v>3.9103526415659579E-5</v>
      </c>
      <c r="H183" s="29">
        <f>G183*'Parameters (Generic)'!$B$3</f>
        <v>2.3245482313052994</v>
      </c>
    </row>
    <row r="184" spans="1:8">
      <c r="A184" s="2" t="s">
        <v>680</v>
      </c>
      <c r="B184" s="2" t="s">
        <v>681</v>
      </c>
      <c r="C184" s="2" t="s">
        <v>119</v>
      </c>
      <c r="D184" s="2" t="s">
        <v>325</v>
      </c>
      <c r="E184" s="17">
        <v>0.69</v>
      </c>
      <c r="F184" s="21">
        <v>8974.9905939942801</v>
      </c>
      <c r="G184" s="28">
        <v>1.9220075853386451E-5</v>
      </c>
      <c r="H184" s="29">
        <f>G184*'Parameters (Generic)'!$B$3</f>
        <v>1.142556629180411</v>
      </c>
    </row>
    <row r="185" spans="1:8">
      <c r="A185" s="2" t="s">
        <v>682</v>
      </c>
      <c r="B185" s="2" t="s">
        <v>683</v>
      </c>
      <c r="C185" s="2" t="s">
        <v>119</v>
      </c>
      <c r="D185" s="2" t="s">
        <v>325</v>
      </c>
      <c r="E185" s="17">
        <v>0.71399999999999997</v>
      </c>
      <c r="F185" s="21">
        <v>8280.6095481068005</v>
      </c>
      <c r="G185" s="28">
        <v>2.1556384099865031E-5</v>
      </c>
      <c r="H185" s="29">
        <f>G185*'Parameters (Generic)'!$B$3</f>
        <v>1.2814408092005767</v>
      </c>
    </row>
    <row r="186" spans="1:8">
      <c r="A186" s="3" t="s">
        <v>684</v>
      </c>
      <c r="B186" s="3" t="s">
        <v>685</v>
      </c>
      <c r="C186" s="3" t="s">
        <v>115</v>
      </c>
      <c r="D186" s="2" t="s">
        <v>322</v>
      </c>
      <c r="E186" s="17">
        <v>0.11799999999999999</v>
      </c>
      <c r="F186" s="21">
        <v>8769.8697845616916</v>
      </c>
      <c r="G186" s="28">
        <v>3.3637899677748039E-6</v>
      </c>
      <c r="H186" s="29">
        <f>G186*'Parameters (Generic)'!$B$3</f>
        <v>0.199963858424341</v>
      </c>
    </row>
    <row r="187" spans="1:8">
      <c r="A187" s="3" t="s">
        <v>686</v>
      </c>
      <c r="B187" s="3" t="s">
        <v>687</v>
      </c>
      <c r="C187" s="2" t="s">
        <v>116</v>
      </c>
      <c r="D187" s="2" t="s">
        <v>121</v>
      </c>
      <c r="E187" s="17">
        <v>0.27600000000000002</v>
      </c>
      <c r="F187" s="21">
        <v>15631.589234209616</v>
      </c>
      <c r="G187" s="28">
        <v>4.4141385092818346E-6</v>
      </c>
      <c r="H187" s="29">
        <f>G187*'Parameters (Generic)'!$B$3</f>
        <v>0.26240287782276794</v>
      </c>
    </row>
    <row r="188" spans="1:8">
      <c r="A188" s="3" t="s">
        <v>688</v>
      </c>
      <c r="B188" s="3" t="s">
        <v>689</v>
      </c>
      <c r="C188" s="2" t="s">
        <v>115</v>
      </c>
      <c r="D188" s="2" t="s">
        <v>121</v>
      </c>
      <c r="E188" s="17">
        <v>0.11799999999999999</v>
      </c>
      <c r="F188" s="21">
        <v>12922.452614490161</v>
      </c>
      <c r="G188" s="28">
        <v>2.2828483787142046E-6</v>
      </c>
      <c r="H188" s="29">
        <f>G188*'Parameters (Generic)'!$B$3</f>
        <v>0.13570620472104461</v>
      </c>
    </row>
    <row r="189" spans="1:8">
      <c r="A189" s="3" t="s">
        <v>690</v>
      </c>
      <c r="B189" s="3" t="s">
        <v>691</v>
      </c>
      <c r="C189" s="2" t="s">
        <v>117</v>
      </c>
      <c r="D189" s="2" t="s">
        <v>121</v>
      </c>
      <c r="E189" s="17">
        <v>0.155</v>
      </c>
      <c r="F189" s="21">
        <v>12848.994093059988</v>
      </c>
      <c r="G189" s="28">
        <v>3.0158002812788039E-6</v>
      </c>
      <c r="H189" s="29">
        <f>G189*'Parameters (Generic)'!$B$3</f>
        <v>0.17927726352089979</v>
      </c>
    </row>
    <row r="190" spans="1:8">
      <c r="A190" s="3" t="s">
        <v>692</v>
      </c>
      <c r="B190" s="3" t="s">
        <v>693</v>
      </c>
      <c r="C190" s="2" t="s">
        <v>120</v>
      </c>
      <c r="D190" s="2" t="s">
        <v>121</v>
      </c>
      <c r="E190" s="17">
        <v>0.1</v>
      </c>
      <c r="F190" s="21">
        <v>12082.151864945557</v>
      </c>
      <c r="G190" s="28">
        <v>2.0691678336318156E-6</v>
      </c>
      <c r="H190" s="29">
        <f>G190*'Parameters (Generic)'!$B$3</f>
        <v>0.12300375103807691</v>
      </c>
    </row>
    <row r="191" spans="1:8">
      <c r="A191" s="3" t="s">
        <v>694</v>
      </c>
      <c r="B191" s="3" t="s">
        <v>695</v>
      </c>
      <c r="C191" s="2" t="s">
        <v>116</v>
      </c>
      <c r="D191" s="2" t="s">
        <v>121</v>
      </c>
      <c r="E191" s="17">
        <v>0.27600000000000002</v>
      </c>
      <c r="F191" s="21">
        <v>26121.940859816237</v>
      </c>
      <c r="G191" s="28">
        <v>2.6414576302078575E-6</v>
      </c>
      <c r="H191" s="29">
        <f>G191*'Parameters (Generic)'!$B$3</f>
        <v>0.15702409028533629</v>
      </c>
    </row>
    <row r="192" spans="1:8">
      <c r="A192" s="3" t="s">
        <v>696</v>
      </c>
      <c r="B192" s="3" t="s">
        <v>697</v>
      </c>
      <c r="C192" s="2" t="s">
        <v>119</v>
      </c>
      <c r="D192" s="2" t="s">
        <v>319</v>
      </c>
      <c r="E192" s="17">
        <v>0.91100000000000003</v>
      </c>
      <c r="F192" s="21">
        <v>8100.2323917025806</v>
      </c>
      <c r="G192" s="28">
        <v>2.8116477279503018E-5</v>
      </c>
      <c r="H192" s="29">
        <f>G192*'Parameters (Generic)'!$B$3</f>
        <v>1.6714121083573363</v>
      </c>
    </row>
    <row r="193" spans="1:8">
      <c r="A193" s="3" t="s">
        <v>698</v>
      </c>
      <c r="B193" s="3" t="s">
        <v>699</v>
      </c>
      <c r="C193" s="2" t="s">
        <v>115</v>
      </c>
      <c r="D193" s="2" t="s">
        <v>121</v>
      </c>
      <c r="E193" s="17">
        <v>0.11799999999999999</v>
      </c>
      <c r="F193" s="21">
        <v>12922.452614490161</v>
      </c>
      <c r="G193" s="28">
        <v>2.2828483787142046E-6</v>
      </c>
      <c r="H193" s="29">
        <f>G193*'Parameters (Generic)'!$B$3</f>
        <v>0.13570620472104461</v>
      </c>
    </row>
    <row r="194" spans="1:8">
      <c r="A194" s="3" t="s">
        <v>700</v>
      </c>
      <c r="B194" s="3" t="s">
        <v>701</v>
      </c>
      <c r="C194" s="2" t="s">
        <v>117</v>
      </c>
      <c r="D194" s="2" t="s">
        <v>121</v>
      </c>
      <c r="E194" s="17">
        <v>0.155</v>
      </c>
      <c r="F194" s="21">
        <v>12011.91720357024</v>
      </c>
      <c r="G194" s="28">
        <v>3.225962961889426E-6</v>
      </c>
      <c r="H194" s="29">
        <f>G194*'Parameters (Generic)'!$B$3</f>
        <v>0.19177059423247883</v>
      </c>
    </row>
    <row r="195" spans="1:8">
      <c r="A195" s="3" t="s">
        <v>702</v>
      </c>
      <c r="B195" s="3" t="s">
        <v>703</v>
      </c>
      <c r="C195" s="2" t="s">
        <v>117</v>
      </c>
      <c r="D195" s="2" t="s">
        <v>322</v>
      </c>
      <c r="E195" s="17">
        <v>0.45100000000000001</v>
      </c>
      <c r="F195" s="21">
        <v>7309.1821023530993</v>
      </c>
      <c r="G195" s="28">
        <v>1.5425802561917503E-5</v>
      </c>
      <c r="H195" s="29">
        <f>G195*'Parameters (Generic)'!$B$3</f>
        <v>0.91700225909574784</v>
      </c>
    </row>
    <row r="196" spans="1:8">
      <c r="A196" s="3" t="s">
        <v>704</v>
      </c>
      <c r="B196" s="3" t="s">
        <v>705</v>
      </c>
      <c r="C196" s="2" t="s">
        <v>115</v>
      </c>
      <c r="D196" s="2" t="s">
        <v>121</v>
      </c>
      <c r="E196" s="17">
        <v>0.11799999999999999</v>
      </c>
      <c r="F196" s="21">
        <v>12922.452614490161</v>
      </c>
      <c r="G196" s="28">
        <v>2.2828483787142046E-6</v>
      </c>
      <c r="H196" s="29">
        <f>G196*'Parameters (Generic)'!$B$3</f>
        <v>0.13570620472104461</v>
      </c>
    </row>
    <row r="197" spans="1:8">
      <c r="A197" s="3" t="s">
        <v>706</v>
      </c>
      <c r="B197" s="3" t="s">
        <v>707</v>
      </c>
      <c r="C197" s="2" t="s">
        <v>115</v>
      </c>
      <c r="D197" s="2" t="s">
        <v>121</v>
      </c>
      <c r="E197" s="17">
        <v>0.11799999999999999</v>
      </c>
      <c r="F197" s="21">
        <v>12922.452614490161</v>
      </c>
      <c r="G197" s="28">
        <v>2.2828483787142046E-6</v>
      </c>
      <c r="H197" s="29">
        <f>G197*'Parameters (Generic)'!$B$3</f>
        <v>0.13570620472104461</v>
      </c>
    </row>
    <row r="198" spans="1:8">
      <c r="A198" s="3" t="s">
        <v>708</v>
      </c>
      <c r="B198" s="3" t="s">
        <v>709</v>
      </c>
      <c r="C198" s="2" t="s">
        <v>114</v>
      </c>
      <c r="D198" s="2" t="s">
        <v>121</v>
      </c>
      <c r="E198" s="17">
        <v>0.111</v>
      </c>
      <c r="F198" s="21">
        <v>11366.2209763916</v>
      </c>
      <c r="G198" s="28">
        <v>2.4414447033573078E-6</v>
      </c>
      <c r="H198" s="29">
        <f>G198*'Parameters (Generic)'!$B$3</f>
        <v>0.14513412183577851</v>
      </c>
    </row>
    <row r="199" spans="1:8">
      <c r="A199" s="3" t="s">
        <v>710</v>
      </c>
      <c r="B199" s="3" t="s">
        <v>711</v>
      </c>
      <c r="C199" s="2" t="s">
        <v>117</v>
      </c>
      <c r="D199" s="2" t="s">
        <v>121</v>
      </c>
      <c r="E199" s="17">
        <v>0.155</v>
      </c>
      <c r="F199" s="21">
        <v>10553.27755308204</v>
      </c>
      <c r="G199" s="28">
        <v>3.6718450552533063E-6</v>
      </c>
      <c r="H199" s="29">
        <f>G199*'Parameters (Generic)'!$B$3</f>
        <v>0.21827650115458805</v>
      </c>
    </row>
    <row r="200" spans="1:8">
      <c r="A200" s="3" t="s">
        <v>712</v>
      </c>
      <c r="B200" s="3" t="s">
        <v>713</v>
      </c>
      <c r="C200" s="2" t="s">
        <v>118</v>
      </c>
      <c r="D200" s="2" t="s">
        <v>319</v>
      </c>
      <c r="E200" s="17">
        <v>0.82299999999999995</v>
      </c>
      <c r="F200" s="21">
        <v>7221.4833325104082</v>
      </c>
      <c r="G200" s="28">
        <v>2.8491376428681031E-5</v>
      </c>
      <c r="H200" s="29">
        <f>G200*'Parameters (Generic)'!$B$3</f>
        <v>1.6936983631793725</v>
      </c>
    </row>
    <row r="201" spans="1:8">
      <c r="A201" s="3" t="s">
        <v>714</v>
      </c>
      <c r="B201" s="3" t="s">
        <v>715</v>
      </c>
      <c r="C201" s="2" t="s">
        <v>114</v>
      </c>
      <c r="D201" s="2" t="s">
        <v>121</v>
      </c>
      <c r="E201" s="17">
        <v>0.111</v>
      </c>
      <c r="F201" s="21">
        <v>11366.2209763916</v>
      </c>
      <c r="G201" s="28">
        <v>2.4414447033573078E-6</v>
      </c>
      <c r="H201" s="29">
        <f>G201*'Parameters (Generic)'!$B$3</f>
        <v>0.14513412183577851</v>
      </c>
    </row>
    <row r="202" spans="1:8">
      <c r="A202" s="3" t="s">
        <v>716</v>
      </c>
      <c r="B202" s="3" t="s">
        <v>717</v>
      </c>
      <c r="C202" s="2" t="s">
        <v>119</v>
      </c>
      <c r="D202" s="2" t="s">
        <v>319</v>
      </c>
      <c r="E202" s="17">
        <v>0.91100000000000003</v>
      </c>
      <c r="F202" s="21">
        <v>8100.2323917025806</v>
      </c>
      <c r="G202" s="28">
        <v>2.8116477279503018E-5</v>
      </c>
      <c r="H202" s="29">
        <f>G202*'Parameters (Generic)'!$B$3</f>
        <v>1.6714121083573363</v>
      </c>
    </row>
    <row r="203" spans="1:8">
      <c r="A203" s="3" t="s">
        <v>718</v>
      </c>
      <c r="B203" s="3" t="s">
        <v>719</v>
      </c>
      <c r="C203" s="2" t="s">
        <v>115</v>
      </c>
      <c r="D203" s="2" t="s">
        <v>121</v>
      </c>
      <c r="E203" s="17">
        <v>0.11799999999999999</v>
      </c>
      <c r="F203" s="21">
        <v>18273.767187672107</v>
      </c>
      <c r="G203" s="28">
        <v>1.614335987595451E-6</v>
      </c>
      <c r="H203" s="29">
        <f>G203*'Parameters (Generic)'!$B$3</f>
        <v>9.5965817118599181E-2</v>
      </c>
    </row>
    <row r="204" spans="1:8">
      <c r="A204" s="3" t="s">
        <v>720</v>
      </c>
      <c r="B204" s="3" t="s">
        <v>721</v>
      </c>
      <c r="C204" s="2" t="s">
        <v>116</v>
      </c>
      <c r="D204" s="2" t="s">
        <v>121</v>
      </c>
      <c r="E204" s="17">
        <v>0.27600000000000002</v>
      </c>
      <c r="F204" s="21">
        <v>14440.357405453351</v>
      </c>
      <c r="G204" s="28">
        <v>4.7782750843786173E-6</v>
      </c>
      <c r="H204" s="29">
        <f>G204*'Parameters (Generic)'!$B$3</f>
        <v>0.28404934066597126</v>
      </c>
    </row>
  </sheetData>
  <autoFilter ref="A1:H1" xr:uid="{C61523C4-6061-1A4D-A8AD-03FAF230F38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93830d4-aeec-4658-9280-aa92a6d9d57f">
      <Terms xmlns="http://schemas.microsoft.com/office/infopath/2007/PartnerControls"/>
    </lcf76f155ced4ddcb4097134ff3c332f>
    <TaxCatchAll xmlns="487bbf61-083c-48b8-9437-1e405529cb9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DDD0EE30CEF3043AF57588E981D3A1F" ma:contentTypeVersion="13" ma:contentTypeDescription="Create a new document." ma:contentTypeScope="" ma:versionID="a59e108bd3f85dce85a34f3531434a7f">
  <xsd:schema xmlns:xsd="http://www.w3.org/2001/XMLSchema" xmlns:xs="http://www.w3.org/2001/XMLSchema" xmlns:p="http://schemas.microsoft.com/office/2006/metadata/properties" xmlns:ns2="893830d4-aeec-4658-9280-aa92a6d9d57f" xmlns:ns3="487bbf61-083c-48b8-9437-1e405529cb92" targetNamespace="http://schemas.microsoft.com/office/2006/metadata/properties" ma:root="true" ma:fieldsID="bbe3d1b425da7d9205adc48403053cd8" ns2:_="" ns3:_="">
    <xsd:import namespace="893830d4-aeec-4658-9280-aa92a6d9d57f"/>
    <xsd:import namespace="487bbf61-083c-48b8-9437-1e405529cb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3830d4-aeec-4658-9280-aa92a6d9d5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b0f2008-fe52-41cf-87e4-573eef98fe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87bbf61-083c-48b8-9437-1e405529cb9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d1d97c6-7a48-4e00-a92a-e3e80ab2759a}" ma:internalName="TaxCatchAll" ma:showField="CatchAllData" ma:web="487bbf61-083c-48b8-9437-1e405529cb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F6736F-5C23-4934-85AA-528CBC585D86}">
  <ds:schemaRefs>
    <ds:schemaRef ds:uri="http://schemas.microsoft.com/office/infopath/2007/PartnerControls"/>
    <ds:schemaRef ds:uri="http://schemas.microsoft.com/office/2006/documentManagement/types"/>
    <ds:schemaRef ds:uri="http://purl.org/dc/terms/"/>
    <ds:schemaRef ds:uri="893830d4-aeec-4658-9280-aa92a6d9d57f"/>
    <ds:schemaRef ds:uri="http://purl.org/dc/dcmitype/"/>
    <ds:schemaRef ds:uri="http://purl.org/dc/elements/1.1/"/>
    <ds:schemaRef ds:uri="http://schemas.openxmlformats.org/package/2006/metadata/core-properties"/>
    <ds:schemaRef ds:uri="487bbf61-083c-48b8-9437-1e405529cb92"/>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DEB0E1A-D53F-4059-A35B-A384041C0B6C}">
  <ds:schemaRefs>
    <ds:schemaRef ds:uri="http://schemas.microsoft.com/sharepoint/v3/contenttype/forms"/>
  </ds:schemaRefs>
</ds:datastoreItem>
</file>

<file path=customXml/itemProps3.xml><?xml version="1.0" encoding="utf-8"?>
<ds:datastoreItem xmlns:ds="http://schemas.openxmlformats.org/officeDocument/2006/customXml" ds:itemID="{14AE49EF-81DA-4D55-89E4-A23472D0F1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3830d4-aeec-4658-9280-aa92a6d9d57f"/>
    <ds:schemaRef ds:uri="487bbf61-083c-48b8-9437-1e405529cb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Results</vt:lpstr>
      <vt:lpstr>Model - Social impact</vt:lpstr>
      <vt:lpstr>Parameters (Generic)</vt:lpstr>
      <vt:lpstr>Parameters | Agora</vt:lpstr>
      <vt:lpstr>Parameters (WASH)</vt:lpstr>
      <vt:lpstr>VI Metadata</vt:lpstr>
      <vt:lpstr>Regionalized NatCap | VI</vt:lpstr>
      <vt:lpstr>LW2023-24 | VI</vt:lpstr>
      <vt:lpstr>HUI 2023 | VI</vt:lpstr>
      <vt:lpstr>HUT 2023 | VI</vt:lpstr>
      <vt:lpstr>Wages | VI </vt:lpstr>
      <vt:lpstr>HEALTH | VI</vt:lpstr>
      <vt:lpstr>EDU | VI</vt:lpstr>
      <vt:lpstr>NatCap | VI</vt:lpstr>
      <vt:lpstr>LCA | DB</vt:lpstr>
      <vt:lpstr>LCA-IO</vt:lpstr>
      <vt:lpstr>IO | DB</vt:lpstr>
      <vt:lpstr>Countries codes</vt:lpstr>
      <vt:lpstr>Job creation baseline</vt:lpstr>
      <vt:lpstr>Life expectancy | UN</vt:lpstr>
      <vt:lpstr>WageD1</vt:lpstr>
      <vt:lpstr>WageD2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 Sacayon</dc:creator>
  <cp:keywords/>
  <dc:description/>
  <cp:lastModifiedBy>Rhys Gabriel</cp:lastModifiedBy>
  <cp:revision/>
  <dcterms:created xsi:type="dcterms:W3CDTF">2024-01-15T15:39:38Z</dcterms:created>
  <dcterms:modified xsi:type="dcterms:W3CDTF">2026-05-08T08:51:08Z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0x0101000DDD0EE30CEF3043AF57588E981D3A1F</vt:lpwstr>
  </property>
  <property fmtid="{D5CDD505-2E9C-101B-9397-08002B2CF9AE}" pid="3" name="MediaServiceImageTags">
    <vt:lpwstr/>
  </property>
</Properties>
</file>